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835" yWindow="345" windowWidth="12660" windowHeight="9270"/>
  </bookViews>
  <sheets>
    <sheet name="Grains" sheetId="1" r:id="rId1"/>
    <sheet name="Hops" sheetId="2" r:id="rId2"/>
    <sheet name="Water" sheetId="3" r:id="rId3"/>
  </sheets>
  <externalReferences>
    <externalReference r:id="rId4"/>
    <externalReference r:id="rId5"/>
  </externalReferences>
  <definedNames>
    <definedName name="_xlnm._FilterDatabase" localSheetId="2" hidden="1">Water!$E$14:$E$14</definedName>
    <definedName name="acid">[1]Sheet2!$I$6:$I$8</definedName>
    <definedName name="Carbo">[2]Scratch!$J$7:$J$8</definedName>
    <definedName name="RA">#REF!</definedName>
    <definedName name="srm_hi">#REF!</definedName>
    <definedName name="srm_lo">#REF!</definedName>
  </definedNames>
  <calcPr calcId="125725"/>
</workbook>
</file>

<file path=xl/calcChain.xml><?xml version="1.0" encoding="utf-8"?>
<calcChain xmlns="http://schemas.openxmlformats.org/spreadsheetml/2006/main">
  <c r="D28" i="1"/>
  <c r="D23"/>
  <c r="D15"/>
  <c r="I23" i="3"/>
  <c r="H23"/>
  <c r="H19"/>
  <c r="G19"/>
  <c r="O19" s="1"/>
  <c r="F19"/>
  <c r="E19"/>
  <c r="D19"/>
  <c r="C19"/>
  <c r="E18"/>
  <c r="O15"/>
  <c r="K15"/>
  <c r="L15" s="1"/>
  <c r="O11"/>
  <c r="L11"/>
  <c r="M11" s="1"/>
  <c r="K11"/>
  <c r="D8"/>
  <c r="C8"/>
  <c r="F3" i="1"/>
  <c r="F2"/>
  <c r="F14" i="2"/>
  <c r="I23"/>
  <c r="I20"/>
  <c r="I18"/>
  <c r="I19"/>
  <c r="C20"/>
  <c r="E24"/>
  <c r="E23"/>
  <c r="E21"/>
  <c r="J13" i="1"/>
  <c r="I17" i="2" s="1"/>
  <c r="E18" i="1"/>
  <c r="F18" s="1"/>
  <c r="E17"/>
  <c r="F17" s="1"/>
  <c r="D34"/>
  <c r="E33"/>
  <c r="F33" s="1"/>
  <c r="E32"/>
  <c r="F32" s="1"/>
  <c r="E31"/>
  <c r="F31" s="1"/>
  <c r="E30"/>
  <c r="F30" s="1"/>
  <c r="E29"/>
  <c r="F29" s="1"/>
  <c r="E27"/>
  <c r="F27" s="1"/>
  <c r="E26"/>
  <c r="F26" s="1"/>
  <c r="E25"/>
  <c r="F25" s="1"/>
  <c r="E24"/>
  <c r="F24" s="1"/>
  <c r="E22"/>
  <c r="F22" s="1"/>
  <c r="E21"/>
  <c r="F21" s="1"/>
  <c r="E20"/>
  <c r="F20" s="1"/>
  <c r="E19"/>
  <c r="F19" s="1"/>
  <c r="E16"/>
  <c r="F16" s="1"/>
  <c r="E14"/>
  <c r="F14" s="1"/>
  <c r="E13"/>
  <c r="F13" s="1"/>
  <c r="E12"/>
  <c r="F12" s="1"/>
  <c r="E11"/>
  <c r="F11" s="1"/>
  <c r="E10"/>
  <c r="F10" s="1"/>
  <c r="E9"/>
  <c r="N15" i="3" l="1"/>
  <c r="D35"/>
  <c r="M15"/>
  <c r="N11"/>
  <c r="K19"/>
  <c r="L19" s="1"/>
  <c r="E34" i="1"/>
  <c r="J7" s="1"/>
  <c r="J14" s="1"/>
  <c r="F9"/>
  <c r="F34" s="1"/>
  <c r="D8"/>
  <c r="J15" l="1"/>
  <c r="C23" i="3"/>
  <c r="D34"/>
  <c r="F23"/>
  <c r="N19"/>
  <c r="G23"/>
  <c r="M19"/>
  <c r="H30" l="1"/>
  <c r="H39" s="1"/>
  <c r="G30"/>
  <c r="G39" s="1"/>
  <c r="O39" s="1"/>
  <c r="F30"/>
  <c r="F39" s="1"/>
  <c r="D23"/>
  <c r="D30"/>
  <c r="D39" s="1"/>
  <c r="C30"/>
  <c r="E23"/>
  <c r="E30"/>
  <c r="L30" s="1"/>
  <c r="E39" s="1"/>
  <c r="C39" l="1"/>
  <c r="K39" s="1"/>
  <c r="L39" s="1"/>
  <c r="K30"/>
  <c r="N39" l="1"/>
  <c r="M39"/>
</calcChain>
</file>

<file path=xl/comments1.xml><?xml version="1.0" encoding="utf-8"?>
<comments xmlns="http://schemas.openxmlformats.org/spreadsheetml/2006/main">
  <authors>
    <author>John Palmer</author>
    <author>The Palmers</author>
    <author>3M</author>
  </authors>
  <commentList>
    <comment ref="B1" authorId="0">
      <text>
        <r>
          <rPr>
            <b/>
            <sz val="8"/>
            <color indexed="81"/>
            <rFont val="Tahoma"/>
          </rPr>
          <t>John Palmer:</t>
        </r>
        <r>
          <rPr>
            <sz val="8"/>
            <color indexed="81"/>
            <rFont val="Tahoma"/>
          </rPr>
          <t xml:space="preserve">
Changes from V1: Version 1 contained an error where final Residual Alkalinity was not calculated correctly if "Bicarbonate" was selected. Other conversion errors were corrected as well. My apologies. - John Palmer 04/03/08
2.1: Danny Williams found an error in the dilution contribution.
04/07/2008
2.2: Soren Tygesen found an error in Step 8. 
2.3 Fixed address error in cell L11. Added condtional formating to RA results cells if RA exceeds 300ppm.
2.4: Added Chloride to Sulfate Ratio to indicate flavor balance.</t>
        </r>
      </text>
    </comment>
    <comment ref="B7" authorId="1">
      <text>
        <r>
          <rPr>
            <b/>
            <sz val="9"/>
            <color indexed="81"/>
            <rFont val="Verdana"/>
          </rPr>
          <t>Target RA Estimator:</t>
        </r>
        <r>
          <rPr>
            <sz val="9"/>
            <color indexed="81"/>
            <rFont val="Verdana"/>
          </rPr>
          <t xml:space="preserve">
Enter the color of the beer that you would like to brew. A range of suitable RA will be calculated. Use the High end if the beer contains a lot of roasted malt, and the low end if the color comes from Crystal or toasted malts.</t>
        </r>
      </text>
    </comment>
    <comment ref="B10" authorId="2">
      <text>
        <r>
          <rPr>
            <b/>
            <sz val="9"/>
            <color indexed="81"/>
            <rFont val="Arial"/>
          </rPr>
          <t>Target Water Profile:</t>
        </r>
        <r>
          <rPr>
            <sz val="9"/>
            <color indexed="81"/>
            <rFont val="Arial"/>
          </rPr>
          <t xml:space="preserve">
Input the mineral profile for a brewing city you are trying to copy. The residual alkalinity for the profile will be calculated. A range of suggested beer color appropriate to this RA is also calculated.</t>
        </r>
      </text>
    </comment>
    <comment ref="E10" authorId="0">
      <text>
        <r>
          <rPr>
            <b/>
            <sz val="8"/>
            <color indexed="81"/>
            <rFont val="Tahoma"/>
          </rPr>
          <t xml:space="preserve">Click to Select: </t>
        </r>
        <r>
          <rPr>
            <sz val="8"/>
            <color indexed="81"/>
            <rFont val="Tahoma"/>
          </rPr>
          <t>Alkalinity as CaCO3 or Bicarbonate</t>
        </r>
        <r>
          <rPr>
            <sz val="8"/>
            <color indexed="81"/>
            <rFont val="Tahoma"/>
          </rPr>
          <t xml:space="preserve">
</t>
        </r>
      </text>
    </comment>
    <comment ref="B14" authorId="2">
      <text>
        <r>
          <rPr>
            <b/>
            <sz val="9"/>
            <color indexed="81"/>
            <rFont val="Arial"/>
          </rPr>
          <t>Source Water:</t>
        </r>
        <r>
          <rPr>
            <sz val="9"/>
            <color indexed="81"/>
            <rFont val="Arial"/>
          </rPr>
          <t xml:space="preserve">
Input the mineral profile for your brewing source water. The residual alkalinity and estimated beer color range will be calculated.</t>
        </r>
      </text>
    </comment>
    <comment ref="B18" authorId="2">
      <text>
        <r>
          <rPr>
            <b/>
            <sz val="9"/>
            <color indexed="81"/>
            <rFont val="Arial"/>
          </rPr>
          <t>Dilute with Distilled Water:</t>
        </r>
        <r>
          <rPr>
            <sz val="9"/>
            <color indexed="81"/>
            <rFont val="Arial"/>
          </rPr>
          <t xml:space="preserve">
Example: 10% dilution would be 1 part distilled to 9 parts tap water.</t>
        </r>
      </text>
    </comment>
    <comment ref="B22" authorId="2">
      <text>
        <r>
          <rPr>
            <b/>
            <sz val="9"/>
            <color indexed="81"/>
            <rFont val="Tahoma"/>
          </rPr>
          <t>Target Residual Alkalinity:</t>
        </r>
        <r>
          <rPr>
            <sz val="9"/>
            <color indexed="81"/>
            <rFont val="Tahoma"/>
          </rPr>
          <t xml:space="preserve">
Enter the RA corresponding to the color of the beer you would like to target here. See Nomograph for colors. The boxes at right will display the additional Hardness or Alkalinity necessary to achieve it. </t>
        </r>
      </text>
    </comment>
    <comment ref="C22" authorId="2">
      <text>
        <r>
          <rPr>
            <b/>
            <sz val="9"/>
            <color indexed="81"/>
            <rFont val="Arial"/>
          </rPr>
          <t>Water Volume:</t>
        </r>
        <r>
          <rPr>
            <sz val="9"/>
            <color indexed="81"/>
            <rFont val="Arial"/>
          </rPr>
          <t xml:space="preserve">
You need to consider the mash water and sparge water seperately. Some salts will dissolve into the brewing water, like gypsum, but CaCO3 will not dissolve except in the mash, so any CaCO3 additions should be calculated separately using just the mash water volume.</t>
        </r>
      </text>
    </comment>
    <comment ref="B26" authorId="2">
      <text>
        <r>
          <rPr>
            <b/>
            <sz val="9"/>
            <color indexed="81"/>
            <rFont val="Arial"/>
          </rPr>
          <t>Salt Additions:</t>
        </r>
        <r>
          <rPr>
            <sz val="9"/>
            <color indexed="81"/>
            <rFont val="Arial"/>
          </rPr>
          <t xml:space="preserve">
To achieve a target mash pH or to enhance the flavor of a beer, enter the additions of each salt here in grams.</t>
        </r>
      </text>
    </comment>
    <comment ref="B29" authorId="2">
      <text>
        <r>
          <rPr>
            <b/>
            <sz val="9"/>
            <color indexed="81"/>
            <rFont val="Arial"/>
          </rPr>
          <t>Ion Contributions:</t>
        </r>
        <r>
          <rPr>
            <sz val="9"/>
            <color indexed="81"/>
            <rFont val="Arial"/>
          </rPr>
          <t xml:space="preserve">
The ion contributions per gallon for the salt additions you input above are calculated here. The Contributed Hardness and Alkalinity boxes at right can be checked to see when you have added enough (re. the Needed boxes above).</t>
        </r>
      </text>
    </comment>
    <comment ref="C33" authorId="0">
      <text>
        <r>
          <rPr>
            <b/>
            <sz val="8"/>
            <color indexed="81"/>
            <rFont val="Tahoma"/>
          </rPr>
          <t>Concentration:</t>
        </r>
        <r>
          <rPr>
            <sz val="8"/>
            <color indexed="81"/>
            <rFont val="Tahoma"/>
          </rPr>
          <t xml:space="preserve">
You can adjust the concentration of the acids here.</t>
        </r>
      </text>
    </comment>
    <comment ref="B43" authorId="1">
      <text>
        <r>
          <rPr>
            <b/>
            <sz val="9"/>
            <color indexed="81"/>
            <rFont val="Verdana"/>
          </rPr>
          <t>Measure Water pH:</t>
        </r>
        <r>
          <rPr>
            <sz val="9"/>
            <color indexed="81"/>
            <rFont val="Verdana"/>
          </rPr>
          <t xml:space="preserve">
You MUST measure the pH of the water you want to adjust.</t>
        </r>
      </text>
    </comment>
    <comment ref="C44" authorId="1">
      <text>
        <r>
          <rPr>
            <b/>
            <sz val="9"/>
            <color indexed="81"/>
            <rFont val="Verdana"/>
          </rPr>
          <t>Target Sparge water pH:</t>
        </r>
        <r>
          <rPr>
            <sz val="9"/>
            <color indexed="81"/>
            <rFont val="Verdana"/>
          </rPr>
          <t xml:space="preserve">
I recommend keeping this at 7 or 6; it doesn't need to be lower.</t>
        </r>
      </text>
    </comment>
    <comment ref="C47" authorId="1">
      <text>
        <r>
          <rPr>
            <b/>
            <sz val="9"/>
            <color indexed="81"/>
            <rFont val="Verdana"/>
          </rPr>
          <t>Hydrochloric w/w%:</t>
        </r>
        <r>
          <rPr>
            <sz val="9"/>
            <color indexed="81"/>
            <rFont val="Verdana"/>
          </rPr>
          <t xml:space="preserve">
You can input the bottle concentration here.</t>
        </r>
      </text>
    </comment>
    <comment ref="C48" authorId="1">
      <text>
        <r>
          <rPr>
            <b/>
            <sz val="9"/>
            <color indexed="81"/>
            <rFont val="Verdana"/>
          </rPr>
          <t>Lactic w/w%:</t>
        </r>
        <r>
          <rPr>
            <sz val="9"/>
            <color indexed="81"/>
            <rFont val="Verdana"/>
          </rPr>
          <t xml:space="preserve">
typically 80- 88%.</t>
        </r>
      </text>
    </comment>
  </commentList>
</comments>
</file>

<file path=xl/sharedStrings.xml><?xml version="1.0" encoding="utf-8"?>
<sst xmlns="http://schemas.openxmlformats.org/spreadsheetml/2006/main" count="200" uniqueCount="154">
  <si>
    <t>RECIPE CALCULATOR</t>
  </si>
  <si>
    <t>Batch size (gallons)</t>
  </si>
  <si>
    <t>Grains</t>
  </si>
  <si>
    <t>Ingredient</t>
  </si>
  <si>
    <t>Percentage</t>
  </si>
  <si>
    <t>Base Malts</t>
  </si>
  <si>
    <t>Pale</t>
  </si>
  <si>
    <t>Pilsener</t>
  </si>
  <si>
    <t>Munich</t>
  </si>
  <si>
    <t>Vienna</t>
  </si>
  <si>
    <t>Wheat</t>
  </si>
  <si>
    <t>Rye</t>
  </si>
  <si>
    <t>Specialty Grains</t>
  </si>
  <si>
    <t>Carapils and cara-malts</t>
  </si>
  <si>
    <t>Chocolate</t>
  </si>
  <si>
    <t>Aromatic/Biscuit</t>
  </si>
  <si>
    <t>Unmalted Grains</t>
  </si>
  <si>
    <t>Oats</t>
  </si>
  <si>
    <t>Barley</t>
  </si>
  <si>
    <t>Concentrated</t>
  </si>
  <si>
    <t>Dried Malt Extract</t>
  </si>
  <si>
    <t>Liquid Malt Extract</t>
  </si>
  <si>
    <t>Honey</t>
  </si>
  <si>
    <t>Maple Syrup</t>
  </si>
  <si>
    <t>Other Sugars</t>
  </si>
  <si>
    <t>Pounds</t>
  </si>
  <si>
    <t>Notes</t>
  </si>
  <si>
    <t>PPPG</t>
  </si>
  <si>
    <t>Totals</t>
  </si>
  <si>
    <t>Efficiency (as %)</t>
  </si>
  <si>
    <t>KG</t>
  </si>
  <si>
    <t>Target Original Gravity (1.###)</t>
  </si>
  <si>
    <t>Crystal 2</t>
  </si>
  <si>
    <t>Crystal 3</t>
  </si>
  <si>
    <t>Crystal 1</t>
  </si>
  <si>
    <t>Black/Roast</t>
  </si>
  <si>
    <t>Mashing</t>
  </si>
  <si>
    <t>Total grains</t>
  </si>
  <si>
    <t>Boiloff rate (as %)</t>
  </si>
  <si>
    <t>Water/Grain (qts/#)</t>
  </si>
  <si>
    <t>Boil length (mins)</t>
  </si>
  <si>
    <t>Absorption (qts/#)</t>
  </si>
  <si>
    <t>Preboil volume (gal)</t>
  </si>
  <si>
    <t>Mash water (qts)</t>
  </si>
  <si>
    <t>Sparge water (qts)</t>
  </si>
  <si>
    <t>Yeast</t>
  </si>
  <si>
    <t>Mash Temp</t>
  </si>
  <si>
    <t>BITTERNESS CALCULATOR</t>
  </si>
  <si>
    <t>Hop Utilization Chart</t>
  </si>
  <si>
    <t>Boil Time (min)</t>
  </si>
  <si>
    <t>Whole Hop U%</t>
  </si>
  <si>
    <t>Pellet Hop U%</t>
  </si>
  <si>
    <t>0-9</t>
  </si>
  <si>
    <t>10-19</t>
  </si>
  <si>
    <t>20-29</t>
  </si>
  <si>
    <t>30-44</t>
  </si>
  <si>
    <t>45-59</t>
  </si>
  <si>
    <t>60-74</t>
  </si>
  <si>
    <t>75+</t>
  </si>
  <si>
    <t>GRAVITY OF BOIL CALCULATOR</t>
  </si>
  <si>
    <r>
      <t xml:space="preserve">Gravity of </t>
    </r>
    <r>
      <rPr>
        <b/>
        <sz val="10"/>
        <rFont val="Arial"/>
        <family val="2"/>
      </rPr>
      <t xml:space="preserve">boil </t>
    </r>
    <r>
      <rPr>
        <sz val="10"/>
        <rFont val="Arial"/>
        <family val="2"/>
      </rPr>
      <t>at time of addition</t>
    </r>
    <r>
      <rPr>
        <b/>
        <sz val="10"/>
        <rFont val="Arial"/>
        <family val="2"/>
      </rPr>
      <t xml:space="preserve">         </t>
    </r>
    <r>
      <rPr>
        <sz val="10"/>
        <rFont val="Arial"/>
        <family val="2"/>
      </rPr>
      <t>-&gt;</t>
    </r>
  </si>
  <si>
    <r>
      <t xml:space="preserve">Volume of </t>
    </r>
    <r>
      <rPr>
        <b/>
        <sz val="10"/>
        <rFont val="Arial"/>
        <family val="2"/>
      </rPr>
      <t>batch</t>
    </r>
    <r>
      <rPr>
        <sz val="11"/>
        <color theme="1"/>
        <rFont val="Calibri"/>
        <family val="2"/>
        <scheme val="minor"/>
      </rPr>
      <t xml:space="preserve"> (gallons)                       -&gt;</t>
    </r>
  </si>
  <si>
    <t>Utilization % (as %                                       -&gt;</t>
  </si>
  <si>
    <t>Alpha % (as %)                                               -&gt;</t>
  </si>
  <si>
    <t>If solving for IBU, enter weight (g)       -&gt;</t>
  </si>
  <si>
    <t>If solving for weight, enter IBU target -&gt;</t>
  </si>
  <si>
    <t>Hourly boiloff rate</t>
  </si>
  <si>
    <t>Pre-boil volume (gallons)</t>
  </si>
  <si>
    <t>At addition, time remaining in boil</t>
  </si>
  <si>
    <t>Gravity of boil at time of addition</t>
  </si>
  <si>
    <t>Original Gravity</t>
  </si>
  <si>
    <t>AA%</t>
  </si>
  <si>
    <t>Weight (g)</t>
  </si>
  <si>
    <t>(correction)</t>
  </si>
  <si>
    <t>IBUs            -&gt;</t>
  </si>
  <si>
    <t>Weight      -&gt;</t>
  </si>
  <si>
    <t>Hop Variety</t>
  </si>
  <si>
    <t>Boil time</t>
  </si>
  <si>
    <t>IBU</t>
  </si>
  <si>
    <t>Total</t>
  </si>
  <si>
    <t>BU/GU</t>
  </si>
  <si>
    <t>Mash Residual Alkalinity Adjustment Worksheet Version 2.4 (US Units)</t>
    <phoneticPr fontId="3"/>
  </si>
  <si>
    <t>User Input</t>
  </si>
  <si>
    <t>by John Palmer All Rights Reserved 2008</t>
  </si>
  <si>
    <t>Calc. Output</t>
  </si>
  <si>
    <t xml:space="preserve">Units are grams, gallons, and milliliters. </t>
  </si>
  <si>
    <r>
      <t>Step 1:</t>
    </r>
    <r>
      <rPr>
        <sz val="9"/>
        <rFont val="Arial Bold"/>
      </rPr>
      <t xml:space="preserve"> Enter Target Beer Color to see range of suggested Residual Alkalinity, Or Enter a Target Water Profile to see its calculated Residual Alkalinity value and a range of suggested Beer Color. (Choose either "Bicarbonate" or "Total Alkalinity" in E10 and enter the appropriate value in E11.)</t>
    </r>
  </si>
  <si>
    <t>Target Color (SRM)</t>
  </si>
  <si>
    <t>Est. RA (Low)</t>
  </si>
  <si>
    <t>Est. RA (High)</t>
  </si>
  <si>
    <t>OR</t>
  </si>
  <si>
    <t>Ratio</t>
    <phoneticPr fontId="3"/>
  </si>
  <si>
    <t>Balance</t>
    <phoneticPr fontId="3"/>
  </si>
  <si>
    <t>Target Water</t>
  </si>
  <si>
    <t>Calcium (ppm)</t>
  </si>
  <si>
    <t>Magnesium (ppm)</t>
  </si>
  <si>
    <t>Bicarbonate (ppm)</t>
  </si>
  <si>
    <t>Sodium (ppm)</t>
  </si>
  <si>
    <t>Chloride (ppm)</t>
  </si>
  <si>
    <t>Sulfate (ppm)</t>
  </si>
  <si>
    <t>(Effective Hardness)</t>
  </si>
  <si>
    <t>Residual Alkalinity as CaCO3</t>
  </si>
  <si>
    <t>Est. SRM (Low)</t>
  </si>
  <si>
    <t>Est. SRM (High)</t>
  </si>
  <si>
    <t>Chloride to Sulfate Balance</t>
    <phoneticPr fontId="3"/>
  </si>
  <si>
    <t>Very Bitter</t>
    <phoneticPr fontId="3"/>
  </si>
  <si>
    <t>(ppm)</t>
  </si>
  <si>
    <t>Bitter</t>
    <phoneticPr fontId="3"/>
  </si>
  <si>
    <t>Balanced</t>
    <phoneticPr fontId="3"/>
  </si>
  <si>
    <r>
      <t>Step 2:</t>
    </r>
    <r>
      <rPr>
        <sz val="9"/>
        <rFont val="Arial Bold"/>
      </rPr>
      <t xml:space="preserve"> Enter Source Water Profile. (Choose "Bicarbonate" or "Alkalinity" in E14.)</t>
    </r>
  </si>
  <si>
    <t>Malty</t>
    <phoneticPr fontId="3"/>
  </si>
  <si>
    <t>Source Water</t>
  </si>
  <si>
    <t>Water pH</t>
  </si>
  <si>
    <t>Chloride to Sulfate Ratio</t>
    <phoneticPr fontId="3"/>
  </si>
  <si>
    <t>Very Malty</t>
    <phoneticPr fontId="3"/>
  </si>
  <si>
    <r>
      <t>Step 3: Optional:</t>
    </r>
    <r>
      <rPr>
        <sz val="9"/>
        <rFont val="Arial Bold"/>
      </rPr>
      <t xml:space="preserve"> Dilute Source Water with Distilled Water (Enter Zero if not diluting.) </t>
    </r>
  </si>
  <si>
    <t>Dilution Rate</t>
  </si>
  <si>
    <r>
      <t>Step 4:</t>
    </r>
    <r>
      <rPr>
        <sz val="9"/>
        <rFont val="Arial Bold"/>
      </rPr>
      <t xml:space="preserve"> Enter a Target Residual Alkalinity Value, based on Step 1, and the total volume of mash water.</t>
    </r>
  </si>
  <si>
    <t>Target Residual Alkalinity</t>
  </si>
  <si>
    <t>Mash Water Volume (gal)</t>
  </si>
  <si>
    <t>Volume of Source Water (gal.)</t>
  </si>
  <si>
    <t>Volume of Distilled Water (gal.)</t>
  </si>
  <si>
    <t>Additional Eff. Hardness Needed</t>
  </si>
  <si>
    <t>Additional Alkalinity Needed</t>
  </si>
  <si>
    <t>Target RA Est. SRM (Low)</t>
  </si>
  <si>
    <t>Target RA Est. SRM (High)</t>
  </si>
  <si>
    <r>
      <t>Step 5: Optional:</t>
    </r>
    <r>
      <rPr>
        <sz val="9"/>
        <rFont val="Arial Bold"/>
      </rPr>
      <t xml:space="preserve"> Add salts to Mash Water. (Enter Zeros if not adding salt.)</t>
    </r>
  </si>
  <si>
    <t>Salt Additions</t>
  </si>
  <si>
    <t>Chalk       CaCO3</t>
  </si>
  <si>
    <t>Gypsum  CaSO4 *2H2O</t>
  </si>
  <si>
    <t>Calcium Chloride  CaCl2*2H2O</t>
  </si>
  <si>
    <t>Epsom Salt  MgSO4 *7H2O</t>
  </si>
  <si>
    <t>Baking Soda  NaHCO3</t>
  </si>
  <si>
    <t>(grams)</t>
  </si>
  <si>
    <t>Salt Contributions</t>
  </si>
  <si>
    <t>HCO3  (ppm)</t>
  </si>
  <si>
    <t>Contributed Hardness</t>
  </si>
  <si>
    <t>Contributed Alkalinity</t>
  </si>
  <si>
    <r>
      <t>Step 6: Optional:</t>
    </r>
    <r>
      <rPr>
        <sz val="9"/>
        <rFont val="Arial Bold"/>
      </rPr>
      <t xml:space="preserve"> Add Acid to Mash Water. (Enter Zero if not adding acid.)</t>
    </r>
  </si>
  <si>
    <t>Acid Adjustment</t>
  </si>
  <si>
    <t>Bottle Conc.</t>
  </si>
  <si>
    <t>Est. Acid-Only Mash Addition (ml)</t>
  </si>
  <si>
    <t>Mash Water Addition (ml)</t>
  </si>
  <si>
    <t>Hydrochloric</t>
  </si>
  <si>
    <t>Lactic</t>
  </si>
  <si>
    <r>
      <t>Step 7: Result:</t>
    </r>
    <r>
      <rPr>
        <sz val="9"/>
        <rFont val="Arial Bold"/>
      </rPr>
      <t xml:space="preserve"> Adjusted Mash Chemistry and Final Residual Alkalinity and Beer Color Range</t>
    </r>
  </si>
  <si>
    <t>Adjusted Mash</t>
  </si>
  <si>
    <t>Alkalinity as CaCO3</t>
  </si>
  <si>
    <r>
      <t>Step 8: Optional:</t>
    </r>
    <r>
      <rPr>
        <sz val="9"/>
        <rFont val="Arial Bold"/>
      </rPr>
      <t xml:space="preserve"> Sparge Water pH Adjustment</t>
    </r>
  </si>
  <si>
    <t>Measure Sparge Water pH @ 20C</t>
  </si>
  <si>
    <t>Target Sparge Water pH @ 20C</t>
  </si>
  <si>
    <t>Sparge Water Volume (gal)</t>
  </si>
  <si>
    <t>Est. Sparge Water Addition (ml)</t>
  </si>
  <si>
    <t>Table Salt NaCl</t>
  </si>
</sst>
</file>

<file path=xl/styles.xml><?xml version="1.0" encoding="utf-8"?>
<styleSheet xmlns="http://schemas.openxmlformats.org/spreadsheetml/2006/main">
  <numFmts count="3">
    <numFmt numFmtId="164" formatCode="0.000"/>
    <numFmt numFmtId="165" formatCode="0.0%"/>
    <numFmt numFmtId="166" formatCode="0.0"/>
  </numFmts>
  <fonts count="28">
    <font>
      <sz val="11"/>
      <color theme="1"/>
      <name val="Calibri"/>
      <family val="2"/>
      <scheme val="minor"/>
    </font>
    <font>
      <b/>
      <sz val="12"/>
      <color theme="1"/>
      <name val="Arial"/>
      <family val="2"/>
    </font>
    <font>
      <sz val="10"/>
      <color theme="1"/>
      <name val="Arial"/>
      <family val="2"/>
    </font>
    <font>
      <b/>
      <sz val="10"/>
      <color theme="1"/>
      <name val="Arial"/>
      <family val="2"/>
    </font>
    <font>
      <b/>
      <sz val="10"/>
      <color rgb="FFFF0000"/>
      <name val="Arial"/>
      <family val="2"/>
    </font>
    <font>
      <b/>
      <sz val="11"/>
      <color theme="1"/>
      <name val="Calibri"/>
      <family val="2"/>
      <scheme val="minor"/>
    </font>
    <font>
      <b/>
      <sz val="12"/>
      <name val="Arial"/>
      <family val="2"/>
    </font>
    <font>
      <b/>
      <sz val="10"/>
      <name val="Arial"/>
      <family val="2"/>
    </font>
    <font>
      <sz val="10"/>
      <name val="Arial"/>
      <family val="2"/>
    </font>
    <font>
      <sz val="10"/>
      <name val="Verdana"/>
    </font>
    <font>
      <b/>
      <u/>
      <sz val="12"/>
      <name val="Arial"/>
    </font>
    <font>
      <sz val="9"/>
      <name val="Arial"/>
      <family val="2"/>
    </font>
    <font>
      <i/>
      <sz val="9"/>
      <name val="Arial"/>
      <family val="2"/>
    </font>
    <font>
      <u/>
      <sz val="9"/>
      <name val="Arial Bold"/>
    </font>
    <font>
      <sz val="9"/>
      <name val="Arial Bold"/>
    </font>
    <font>
      <sz val="9"/>
      <name val="Verdana"/>
    </font>
    <font>
      <b/>
      <i/>
      <sz val="9"/>
      <name val="Arial"/>
      <family val="2"/>
    </font>
    <font>
      <b/>
      <sz val="9"/>
      <name val="Arial"/>
      <family val="2"/>
    </font>
    <font>
      <b/>
      <u/>
      <sz val="9"/>
      <name val="Arial"/>
      <family val="2"/>
    </font>
    <font>
      <b/>
      <i/>
      <u/>
      <sz val="9"/>
      <name val="Arial"/>
      <family val="2"/>
    </font>
    <font>
      <b/>
      <sz val="8"/>
      <color indexed="81"/>
      <name val="Tahoma"/>
    </font>
    <font>
      <sz val="8"/>
      <color indexed="81"/>
      <name val="Tahoma"/>
    </font>
    <font>
      <b/>
      <sz val="9"/>
      <color indexed="81"/>
      <name val="Verdana"/>
    </font>
    <font>
      <sz val="9"/>
      <color indexed="81"/>
      <name val="Verdana"/>
    </font>
    <font>
      <b/>
      <sz val="9"/>
      <color indexed="81"/>
      <name val="Arial"/>
    </font>
    <font>
      <sz val="9"/>
      <color indexed="81"/>
      <name val="Arial"/>
    </font>
    <font>
      <b/>
      <sz val="9"/>
      <color indexed="81"/>
      <name val="Tahoma"/>
    </font>
    <font>
      <sz val="9"/>
      <color indexed="81"/>
      <name val="Tahoma"/>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slantDashDot">
        <color indexed="64"/>
      </left>
      <right style="slantDashDot">
        <color indexed="64"/>
      </right>
      <top style="slantDashDot">
        <color indexed="64"/>
      </top>
      <bottom style="slantDashDot">
        <color indexed="64"/>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style="slantDashDot">
        <color indexed="64"/>
      </top>
      <bottom style="double">
        <color indexed="64"/>
      </bottom>
      <diagonal/>
    </border>
    <border>
      <left style="slantDashDot">
        <color indexed="64"/>
      </left>
      <right style="slantDashDot">
        <color indexed="64"/>
      </right>
      <top/>
      <bottom style="slantDashDot">
        <color indexed="64"/>
      </bottom>
      <diagonal/>
    </border>
    <border>
      <left style="slantDashDot">
        <color indexed="64"/>
      </left>
      <right style="slantDashDot">
        <color indexed="64"/>
      </right>
      <top style="double">
        <color indexed="64"/>
      </top>
      <bottom style="slantDashDot">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Dashed">
        <color indexed="64"/>
      </top>
      <bottom/>
      <diagonal/>
    </border>
    <border>
      <left/>
      <right/>
      <top style="double">
        <color indexed="64"/>
      </top>
      <bottom style="double">
        <color indexed="64"/>
      </bottom>
      <diagonal/>
    </border>
    <border>
      <left style="double">
        <color indexed="64"/>
      </left>
      <right style="double">
        <color indexed="64"/>
      </right>
      <top/>
      <bottom/>
      <diagonal/>
    </border>
  </borders>
  <cellStyleXfs count="2">
    <xf numFmtId="0" fontId="0" fillId="0" borderId="0"/>
    <xf numFmtId="0" fontId="9" fillId="0" borderId="0"/>
  </cellStyleXfs>
  <cellXfs count="168">
    <xf numFmtId="0" fontId="0" fillId="0" borderId="0" xfId="0"/>
    <xf numFmtId="0" fontId="1" fillId="0" borderId="0" xfId="0" applyFont="1"/>
    <xf numFmtId="0" fontId="2" fillId="0" borderId="0" xfId="0" applyFont="1"/>
    <xf numFmtId="0" fontId="3" fillId="0" borderId="0" xfId="0" applyFont="1"/>
    <xf numFmtId="0" fontId="1"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0" xfId="0" applyFont="1" applyBorder="1"/>
    <xf numFmtId="0" fontId="2" fillId="0" borderId="6" xfId="0" applyFont="1" applyBorder="1"/>
    <xf numFmtId="0" fontId="2" fillId="0" borderId="5" xfId="0" applyFont="1" applyBorder="1"/>
    <xf numFmtId="0" fontId="2" fillId="0" borderId="7" xfId="0" applyFont="1" applyBorder="1"/>
    <xf numFmtId="0" fontId="2" fillId="0" borderId="1" xfId="0" applyFont="1" applyBorder="1"/>
    <xf numFmtId="0" fontId="1" fillId="0" borderId="3" xfId="0" applyFont="1" applyBorder="1"/>
    <xf numFmtId="0" fontId="2" fillId="0" borderId="0" xfId="0" applyFont="1" applyBorder="1" applyAlignment="1">
      <alignment horizontal="center"/>
    </xf>
    <xf numFmtId="2" fontId="2" fillId="0" borderId="0" xfId="0" applyNumberFormat="1" applyFont="1" applyBorder="1"/>
    <xf numFmtId="164" fontId="2" fillId="0" borderId="1" xfId="0" applyNumberFormat="1" applyFont="1" applyBorder="1"/>
    <xf numFmtId="165" fontId="2" fillId="0" borderId="1" xfId="0" applyNumberFormat="1" applyFont="1" applyBorder="1"/>
    <xf numFmtId="0" fontId="4" fillId="0" borderId="0" xfId="0" applyFont="1" applyBorder="1"/>
    <xf numFmtId="164" fontId="2" fillId="0" borderId="0" xfId="0" applyNumberFormat="1" applyFont="1" applyBorder="1"/>
    <xf numFmtId="0" fontId="4" fillId="0" borderId="3" xfId="0" applyFont="1" applyBorder="1"/>
    <xf numFmtId="9" fontId="2" fillId="0" borderId="1" xfId="0" applyNumberFormat="1" applyFont="1" applyBorder="1"/>
    <xf numFmtId="2" fontId="2" fillId="0" borderId="6" xfId="0" applyNumberFormat="1" applyFont="1" applyBorder="1"/>
    <xf numFmtId="2" fontId="2" fillId="0" borderId="8" xfId="0" applyNumberFormat="1" applyFont="1" applyBorder="1"/>
    <xf numFmtId="0" fontId="2" fillId="0" borderId="2" xfId="0" applyFont="1" applyBorder="1"/>
    <xf numFmtId="165" fontId="2" fillId="0" borderId="3" xfId="0" applyNumberFormat="1" applyFont="1" applyBorder="1"/>
    <xf numFmtId="2" fontId="2" fillId="0" borderId="3" xfId="0" applyNumberFormat="1" applyFont="1" applyBorder="1"/>
    <xf numFmtId="164" fontId="2" fillId="0" borderId="3" xfId="0" applyNumberFormat="1" applyFont="1" applyBorder="1"/>
    <xf numFmtId="0" fontId="3" fillId="0" borderId="1" xfId="0" applyFont="1" applyBorder="1"/>
    <xf numFmtId="165" fontId="2" fillId="0" borderId="9" xfId="0" applyNumberFormat="1" applyFont="1" applyBorder="1"/>
    <xf numFmtId="0" fontId="7" fillId="0" borderId="9" xfId="0" applyFont="1" applyBorder="1"/>
    <xf numFmtId="0" fontId="0" fillId="0" borderId="10" xfId="0" applyBorder="1"/>
    <xf numFmtId="0" fontId="0" fillId="0" borderId="11" xfId="0" applyBorder="1"/>
    <xf numFmtId="0" fontId="0" fillId="0" borderId="1" xfId="0" applyBorder="1"/>
    <xf numFmtId="0" fontId="0" fillId="0" borderId="4" xfId="0" applyBorder="1"/>
    <xf numFmtId="0" fontId="0" fillId="0" borderId="12" xfId="0" applyBorder="1"/>
    <xf numFmtId="0" fontId="0" fillId="0" borderId="6" xfId="0" applyBorder="1"/>
    <xf numFmtId="49" fontId="0" fillId="0" borderId="12" xfId="0" applyNumberFormat="1" applyBorder="1"/>
    <xf numFmtId="0" fontId="0" fillId="0" borderId="0" xfId="0" applyBorder="1"/>
    <xf numFmtId="2" fontId="0" fillId="0" borderId="6" xfId="0" applyNumberFormat="1" applyBorder="1"/>
    <xf numFmtId="0" fontId="0" fillId="0" borderId="13" xfId="0" applyBorder="1"/>
    <xf numFmtId="165" fontId="0" fillId="0" borderId="1" xfId="0" applyNumberFormat="1" applyBorder="1"/>
    <xf numFmtId="9" fontId="0" fillId="0" borderId="12" xfId="0" applyNumberFormat="1" applyBorder="1"/>
    <xf numFmtId="9" fontId="0" fillId="0" borderId="6" xfId="0" applyNumberFormat="1" applyBorder="1"/>
    <xf numFmtId="9" fontId="0" fillId="0" borderId="13" xfId="0" applyNumberFormat="1" applyBorder="1"/>
    <xf numFmtId="9" fontId="0" fillId="0" borderId="8" xfId="0" applyNumberFormat="1" applyBorder="1"/>
    <xf numFmtId="165" fontId="0" fillId="0" borderId="9" xfId="0" applyNumberFormat="1" applyBorder="1"/>
    <xf numFmtId="164" fontId="0" fillId="0" borderId="13" xfId="0" applyNumberFormat="1" applyBorder="1"/>
    <xf numFmtId="0" fontId="0" fillId="0" borderId="3" xfId="0" applyBorder="1"/>
    <xf numFmtId="0" fontId="0" fillId="0" borderId="5" xfId="0" applyBorder="1"/>
    <xf numFmtId="164" fontId="0" fillId="0" borderId="6" xfId="0" applyNumberFormat="1" applyBorder="1"/>
    <xf numFmtId="0" fontId="5" fillId="0" borderId="7" xfId="0" applyFont="1" applyBorder="1"/>
    <xf numFmtId="164" fontId="0" fillId="0" borderId="8" xfId="0" applyNumberFormat="1" applyBorder="1"/>
    <xf numFmtId="0" fontId="0" fillId="0" borderId="7" xfId="0" applyBorder="1"/>
    <xf numFmtId="0" fontId="0" fillId="0" borderId="14" xfId="0" applyBorder="1"/>
    <xf numFmtId="0" fontId="6" fillId="0" borderId="2" xfId="0" applyFont="1" applyBorder="1"/>
    <xf numFmtId="2" fontId="0" fillId="0" borderId="8" xfId="0" applyNumberFormat="1" applyBorder="1"/>
    <xf numFmtId="166" fontId="0" fillId="0" borderId="6" xfId="0" applyNumberFormat="1" applyBorder="1"/>
    <xf numFmtId="0" fontId="5" fillId="0" borderId="0" xfId="0" applyFont="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6" fillId="0" borderId="3" xfId="0" applyFont="1" applyBorder="1"/>
    <xf numFmtId="0" fontId="5" fillId="0" borderId="14" xfId="0" applyFont="1" applyBorder="1"/>
    <xf numFmtId="0" fontId="5" fillId="0" borderId="0" xfId="0" applyFont="1" applyBorder="1"/>
    <xf numFmtId="0" fontId="11" fillId="0" borderId="0" xfId="1" applyFont="1" applyAlignment="1">
      <alignment horizontal="center" vertical="center" wrapText="1"/>
    </xf>
    <xf numFmtId="0" fontId="11" fillId="0" borderId="0" xfId="1" applyFont="1" applyAlignment="1">
      <alignment vertical="center" wrapText="1"/>
    </xf>
    <xf numFmtId="0" fontId="12" fillId="2" borderId="1" xfId="1" applyFont="1" applyFill="1" applyBorder="1" applyAlignment="1">
      <alignment horizontal="center" vertical="center" wrapText="1"/>
    </xf>
    <xf numFmtId="0" fontId="12" fillId="0" borderId="1" xfId="1" applyFont="1" applyBorder="1" applyAlignment="1">
      <alignment vertical="center" wrapText="1"/>
    </xf>
    <xf numFmtId="0" fontId="11" fillId="0" borderId="0" xfId="1" applyFont="1" applyAlignment="1">
      <alignment horizontal="center" vertical="center"/>
    </xf>
    <xf numFmtId="0" fontId="11" fillId="0" borderId="0" xfId="1" applyFont="1" applyAlignment="1">
      <alignment vertical="center"/>
    </xf>
    <xf numFmtId="0" fontId="12" fillId="3" borderId="1" xfId="1" applyFont="1" applyFill="1" applyBorder="1" applyAlignment="1">
      <alignment horizontal="center" vertical="center" wrapText="1"/>
    </xf>
    <xf numFmtId="0" fontId="11" fillId="4" borderId="0" xfId="1" applyFont="1" applyFill="1" applyAlignment="1">
      <alignment horizontal="center" vertical="center"/>
    </xf>
    <xf numFmtId="0" fontId="11" fillId="4" borderId="0" xfId="1" applyFont="1" applyFill="1" applyAlignment="1">
      <alignment vertical="center"/>
    </xf>
    <xf numFmtId="0" fontId="16" fillId="0" borderId="15" xfId="1" applyFont="1" applyFill="1" applyBorder="1" applyAlignment="1">
      <alignment horizontal="center" vertical="center" wrapText="1"/>
    </xf>
    <xf numFmtId="0" fontId="17" fillId="2" borderId="15" xfId="1" applyFont="1" applyFill="1" applyBorder="1" applyAlignment="1" applyProtection="1">
      <alignment horizontal="center" vertical="center"/>
      <protection locked="0"/>
    </xf>
    <xf numFmtId="1" fontId="16" fillId="3" borderId="15" xfId="1" applyNumberFormat="1" applyFont="1" applyFill="1" applyBorder="1" applyAlignment="1">
      <alignment horizontal="center"/>
    </xf>
    <xf numFmtId="1" fontId="16" fillId="3" borderId="15" xfId="1" applyNumberFormat="1" applyFont="1" applyFill="1" applyBorder="1" applyAlignment="1">
      <alignment horizontal="center" vertical="center"/>
    </xf>
    <xf numFmtId="0" fontId="14" fillId="4" borderId="0" xfId="1" applyFont="1" applyFill="1" applyAlignment="1">
      <alignment horizontal="center" vertical="center"/>
    </xf>
    <xf numFmtId="0" fontId="12" fillId="0" borderId="0" xfId="1" applyFont="1" applyFill="1" applyBorder="1" applyAlignment="1">
      <alignment horizontal="center" vertical="center"/>
    </xf>
    <xf numFmtId="1" fontId="12" fillId="0" borderId="0" xfId="1" applyNumberFormat="1" applyFont="1" applyFill="1" applyBorder="1" applyAlignment="1">
      <alignment horizontal="center"/>
    </xf>
    <xf numFmtId="1" fontId="12" fillId="0" borderId="0" xfId="1" applyNumberFormat="1" applyFont="1" applyFill="1" applyBorder="1" applyAlignment="1">
      <alignment horizontal="center" vertical="center"/>
    </xf>
    <xf numFmtId="0" fontId="8" fillId="0" borderId="0" xfId="1" applyFont="1" applyAlignment="1">
      <alignment horizontal="center" vertical="center" wrapText="1"/>
    </xf>
    <xf numFmtId="0" fontId="18" fillId="0" borderId="16" xfId="1" applyFont="1" applyBorder="1" applyAlignment="1">
      <alignment horizontal="center" vertical="center" wrapText="1"/>
    </xf>
    <xf numFmtId="0" fontId="17" fillId="0" borderId="17" xfId="1" applyFont="1" applyBorder="1" applyAlignment="1">
      <alignment horizontal="center" vertical="center" wrapText="1"/>
    </xf>
    <xf numFmtId="0" fontId="17" fillId="2" borderId="17" xfId="1" applyFont="1" applyFill="1" applyBorder="1" applyAlignment="1" applyProtection="1">
      <alignment horizontal="center" vertical="center" wrapText="1"/>
      <protection locked="0"/>
    </xf>
    <xf numFmtId="0" fontId="17" fillId="0" borderId="0" xfId="1" applyFont="1" applyAlignment="1">
      <alignment horizontal="center" vertical="center" wrapText="1"/>
    </xf>
    <xf numFmtId="0" fontId="16" fillId="0" borderId="15" xfId="1" applyFont="1" applyBorder="1" applyAlignment="1">
      <alignment horizontal="center" vertical="center" wrapText="1"/>
    </xf>
    <xf numFmtId="0" fontId="17" fillId="0" borderId="18" xfId="1" applyFont="1" applyBorder="1" applyAlignment="1">
      <alignment horizontal="center" vertical="center" wrapText="1"/>
    </xf>
    <xf numFmtId="0" fontId="17" fillId="2" borderId="19" xfId="1" applyFont="1" applyFill="1" applyBorder="1" applyAlignment="1" applyProtection="1">
      <alignment horizontal="center" vertical="center" wrapText="1"/>
      <protection locked="0"/>
    </xf>
    <xf numFmtId="0" fontId="11" fillId="0" borderId="0" xfId="1" applyFont="1" applyBorder="1" applyAlignment="1">
      <alignment horizontal="center" vertical="center" wrapText="1"/>
    </xf>
    <xf numFmtId="1" fontId="16" fillId="3" borderId="15" xfId="1" applyNumberFormat="1" applyFont="1" applyFill="1" applyBorder="1" applyAlignment="1">
      <alignment horizontal="center" vertical="center" wrapText="1"/>
    </xf>
    <xf numFmtId="0" fontId="11" fillId="4" borderId="0" xfId="1" applyFont="1" applyFill="1" applyAlignment="1">
      <alignment horizontal="center" vertical="center" wrapText="1"/>
    </xf>
    <xf numFmtId="0" fontId="11" fillId="4" borderId="0" xfId="1" applyFont="1" applyFill="1" applyAlignment="1">
      <alignment vertical="center" wrapText="1"/>
    </xf>
    <xf numFmtId="0" fontId="15" fillId="4" borderId="0" xfId="1" applyFont="1" applyFill="1"/>
    <xf numFmtId="0" fontId="18" fillId="0" borderId="21" xfId="1" applyFont="1" applyBorder="1" applyAlignment="1">
      <alignment horizontal="center" vertical="center" wrapText="1"/>
    </xf>
    <xf numFmtId="0" fontId="17" fillId="0" borderId="22" xfId="1" applyFont="1" applyBorder="1" applyAlignment="1">
      <alignment horizontal="center" vertical="center" wrapText="1"/>
    </xf>
    <xf numFmtId="0" fontId="17" fillId="2" borderId="22" xfId="1" applyFont="1" applyFill="1" applyBorder="1" applyAlignment="1" applyProtection="1">
      <alignment horizontal="center" vertical="center" wrapText="1"/>
      <protection locked="0"/>
    </xf>
    <xf numFmtId="0" fontId="16" fillId="0" borderId="23"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23" xfId="1" applyFont="1" applyFill="1" applyBorder="1" applyAlignment="1">
      <alignment horizontal="center" vertical="center" wrapText="1"/>
    </xf>
    <xf numFmtId="0" fontId="17" fillId="0" borderId="25" xfId="1" applyFont="1" applyBorder="1" applyAlignment="1">
      <alignment horizontal="center" vertical="center" wrapText="1"/>
    </xf>
    <xf numFmtId="0" fontId="17" fillId="2" borderId="22" xfId="1" applyFont="1" applyFill="1" applyBorder="1" applyAlignment="1">
      <alignment horizontal="center" vertical="center" wrapText="1"/>
    </xf>
    <xf numFmtId="1" fontId="17" fillId="2" borderId="22" xfId="1" applyNumberFormat="1" applyFont="1" applyFill="1" applyBorder="1" applyAlignment="1">
      <alignment horizontal="center" vertical="center" wrapText="1"/>
    </xf>
    <xf numFmtId="0" fontId="17" fillId="2" borderId="22" xfId="1" applyFont="1" applyFill="1" applyBorder="1" applyAlignment="1">
      <alignment horizontal="center" vertical="center"/>
    </xf>
    <xf numFmtId="166" fontId="11" fillId="0" borderId="0" xfId="1" applyNumberFormat="1" applyFont="1" applyBorder="1" applyAlignment="1">
      <alignment horizontal="center" vertical="center" wrapText="1"/>
    </xf>
    <xf numFmtId="1" fontId="16" fillId="3" borderId="23" xfId="1" applyNumberFormat="1" applyFont="1" applyFill="1" applyBorder="1" applyAlignment="1">
      <alignment horizontal="center" vertical="center" wrapText="1"/>
    </xf>
    <xf numFmtId="1" fontId="16" fillId="3" borderId="24" xfId="1" applyNumberFormat="1" applyFont="1" applyFill="1" applyBorder="1" applyAlignment="1">
      <alignment horizontal="center" vertical="center" wrapText="1"/>
    </xf>
    <xf numFmtId="1" fontId="16" fillId="3" borderId="23" xfId="1" applyNumberFormat="1" applyFont="1" applyFill="1" applyBorder="1" applyAlignment="1">
      <alignment horizontal="center" vertical="center"/>
    </xf>
    <xf numFmtId="0" fontId="17" fillId="0" borderId="26" xfId="1" applyFont="1" applyBorder="1" applyAlignment="1">
      <alignment horizontal="center" vertical="center" wrapText="1"/>
    </xf>
    <xf numFmtId="0" fontId="17" fillId="3" borderId="22" xfId="1" applyFont="1" applyFill="1" applyBorder="1" applyAlignment="1">
      <alignment horizontal="center" vertical="center" wrapText="1"/>
    </xf>
    <xf numFmtId="0" fontId="15" fillId="0" borderId="0" xfId="1" applyFont="1"/>
    <xf numFmtId="9" fontId="17" fillId="2" borderId="22" xfId="1" applyNumberFormat="1" applyFont="1" applyFill="1" applyBorder="1" applyAlignment="1" applyProtection="1">
      <alignment horizontal="center" vertical="center" wrapText="1"/>
      <protection locked="0"/>
    </xf>
    <xf numFmtId="1" fontId="16" fillId="3" borderId="27" xfId="1" applyNumberFormat="1" applyFont="1" applyFill="1" applyBorder="1" applyAlignment="1">
      <alignment horizontal="center" vertical="center" wrapText="1"/>
    </xf>
    <xf numFmtId="0" fontId="17" fillId="4" borderId="0" xfId="1" applyFont="1" applyFill="1" applyAlignment="1">
      <alignment horizontal="center" vertical="center" wrapText="1"/>
    </xf>
    <xf numFmtId="0" fontId="18" fillId="2" borderId="22" xfId="1" applyFont="1" applyFill="1" applyBorder="1" applyAlignment="1">
      <alignment horizontal="center" vertical="center" wrapText="1"/>
    </xf>
    <xf numFmtId="1" fontId="17" fillId="2" borderId="22" xfId="1" applyNumberFormat="1" applyFont="1" applyFill="1" applyBorder="1" applyAlignment="1" applyProtection="1">
      <alignment horizontal="center" vertical="center" wrapText="1"/>
      <protection locked="0"/>
    </xf>
    <xf numFmtId="2" fontId="17" fillId="2" borderId="22" xfId="1" applyNumberFormat="1" applyFont="1" applyFill="1" applyBorder="1" applyAlignment="1" applyProtection="1">
      <alignment horizontal="center" vertical="center" wrapText="1"/>
      <protection locked="0"/>
    </xf>
    <xf numFmtId="2" fontId="16" fillId="3" borderId="23" xfId="1" applyNumberFormat="1" applyFont="1" applyFill="1" applyBorder="1" applyAlignment="1">
      <alignment horizontal="center" vertical="center"/>
    </xf>
    <xf numFmtId="166" fontId="17" fillId="0" borderId="0" xfId="1" applyNumberFormat="1" applyFont="1" applyFill="1" applyBorder="1" applyAlignment="1">
      <alignment horizontal="center" vertical="center" wrapText="1"/>
    </xf>
    <xf numFmtId="0" fontId="17" fillId="0" borderId="0" xfId="1" applyFont="1" applyFill="1" applyBorder="1" applyAlignment="1">
      <alignment horizontal="center" vertical="center" wrapText="1"/>
    </xf>
    <xf numFmtId="166" fontId="16" fillId="0" borderId="0" xfId="1" applyNumberFormat="1" applyFont="1" applyFill="1" applyBorder="1" applyAlignment="1">
      <alignment horizontal="center" vertical="center" wrapText="1"/>
    </xf>
    <xf numFmtId="1" fontId="16" fillId="0" borderId="0" xfId="1" applyNumberFormat="1" applyFont="1" applyFill="1" applyBorder="1" applyAlignment="1">
      <alignment horizontal="center" vertical="center" wrapText="1"/>
    </xf>
    <xf numFmtId="1" fontId="16" fillId="0" borderId="0" xfId="1" applyNumberFormat="1" applyFont="1" applyFill="1" applyBorder="1" applyAlignment="1">
      <alignment horizontal="center" vertical="center"/>
    </xf>
    <xf numFmtId="0" fontId="16" fillId="4" borderId="0" xfId="1" applyFont="1" applyFill="1" applyAlignment="1">
      <alignment horizontal="center" vertical="center" wrapText="1"/>
    </xf>
    <xf numFmtId="0" fontId="18" fillId="0" borderId="22" xfId="1" applyFont="1" applyBorder="1" applyAlignment="1">
      <alignment horizontal="center" vertical="center" wrapText="1"/>
    </xf>
    <xf numFmtId="166" fontId="17" fillId="0" borderId="22" xfId="1" applyNumberFormat="1" applyFont="1" applyBorder="1" applyAlignment="1">
      <alignment horizontal="center" vertical="center" wrapText="1"/>
    </xf>
    <xf numFmtId="0" fontId="17" fillId="0" borderId="0" xfId="1" applyFont="1" applyBorder="1" applyAlignment="1">
      <alignment horizontal="center" vertical="center" wrapText="1"/>
    </xf>
    <xf numFmtId="9" fontId="17" fillId="0" borderId="0" xfId="1" applyNumberFormat="1" applyFont="1" applyFill="1" applyBorder="1" applyAlignment="1">
      <alignment horizontal="center" vertical="center" wrapText="1"/>
    </xf>
    <xf numFmtId="0" fontId="12" fillId="0" borderId="0" xfId="1" applyFont="1" applyAlignment="1">
      <alignment vertical="center" wrapText="1"/>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7" fillId="0" borderId="21" xfId="1" applyFont="1" applyBorder="1" applyAlignment="1">
      <alignment horizontal="center" vertical="center" wrapText="1"/>
    </xf>
    <xf numFmtId="166" fontId="16" fillId="3" borderId="21" xfId="1" applyNumberFormat="1" applyFont="1" applyFill="1" applyBorder="1" applyAlignment="1">
      <alignment horizontal="center" vertical="center" wrapText="1"/>
    </xf>
    <xf numFmtId="166" fontId="17" fillId="2" borderId="27" xfId="1" applyNumberFormat="1" applyFont="1" applyFill="1" applyBorder="1" applyAlignment="1" applyProtection="1">
      <alignment horizontal="center" vertical="center" wrapText="1"/>
      <protection locked="0"/>
    </xf>
    <xf numFmtId="166" fontId="16" fillId="3" borderId="22" xfId="1" applyNumberFormat="1" applyFont="1" applyFill="1" applyBorder="1" applyAlignment="1">
      <alignment horizontal="center" vertical="center" wrapText="1"/>
    </xf>
    <xf numFmtId="0" fontId="15" fillId="0" borderId="0" xfId="1" applyFont="1" applyFill="1"/>
    <xf numFmtId="0" fontId="11" fillId="0" borderId="0" xfId="1" applyFont="1" applyFill="1" applyAlignment="1">
      <alignment horizontal="center" vertical="center" wrapText="1"/>
    </xf>
    <xf numFmtId="0" fontId="11" fillId="0" borderId="0" xfId="1" applyFont="1" applyFill="1" applyAlignment="1">
      <alignment vertical="center" wrapText="1"/>
    </xf>
    <xf numFmtId="0" fontId="19" fillId="0" borderId="28"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0" xfId="1" applyFont="1" applyBorder="1" applyAlignment="1">
      <alignment vertical="center" wrapText="1"/>
    </xf>
    <xf numFmtId="0" fontId="14" fillId="0" borderId="30" xfId="1" applyFont="1" applyBorder="1" applyAlignment="1">
      <alignment horizontal="left" vertical="center"/>
    </xf>
    <xf numFmtId="0" fontId="11" fillId="0" borderId="30" xfId="1" applyFont="1" applyBorder="1" applyAlignment="1">
      <alignment vertical="center" wrapText="1"/>
    </xf>
    <xf numFmtId="0" fontId="11" fillId="0" borderId="30" xfId="1" applyFont="1" applyBorder="1" applyAlignment="1">
      <alignment horizontal="center" vertical="center" wrapText="1"/>
    </xf>
    <xf numFmtId="0" fontId="15" fillId="0" borderId="30" xfId="1" applyFont="1" applyBorder="1"/>
    <xf numFmtId="0" fontId="13" fillId="4" borderId="0" xfId="1" applyFont="1" applyFill="1" applyBorder="1" applyAlignment="1">
      <alignment horizontal="left" vertical="center"/>
    </xf>
    <xf numFmtId="0" fontId="11" fillId="4" borderId="0" xfId="1" applyFont="1" applyFill="1" applyBorder="1" applyAlignment="1">
      <alignment vertical="center" wrapText="1"/>
    </xf>
    <xf numFmtId="0" fontId="11" fillId="0" borderId="0" xfId="1" applyFont="1" applyBorder="1" applyAlignment="1">
      <alignment vertical="center" wrapText="1"/>
    </xf>
    <xf numFmtId="0" fontId="15" fillId="0" borderId="0" xfId="1" applyFont="1" applyBorder="1"/>
    <xf numFmtId="0" fontId="17" fillId="0" borderId="22" xfId="1" applyFont="1" applyFill="1" applyBorder="1" applyAlignment="1">
      <alignment horizontal="center" vertical="center" wrapText="1"/>
    </xf>
    <xf numFmtId="166" fontId="17" fillId="2" borderId="22" xfId="1" applyNumberFormat="1" applyFont="1" applyFill="1" applyBorder="1" applyAlignment="1" applyProtection="1">
      <alignment horizontal="center" vertical="center"/>
      <protection locked="0"/>
    </xf>
    <xf numFmtId="166" fontId="17" fillId="2" borderId="11" xfId="1" applyNumberFormat="1" applyFont="1" applyFill="1" applyBorder="1" applyAlignment="1" applyProtection="1">
      <alignment horizontal="center" vertical="center"/>
      <protection locked="0"/>
    </xf>
    <xf numFmtId="0" fontId="15" fillId="0" borderId="0" xfId="1" applyFont="1" applyAlignment="1">
      <alignment vertical="center"/>
    </xf>
    <xf numFmtId="0" fontId="11" fillId="0" borderId="31" xfId="1" applyFont="1" applyBorder="1" applyAlignment="1">
      <alignment horizontal="center" vertical="center" wrapText="1"/>
    </xf>
    <xf numFmtId="166" fontId="17" fillId="0" borderId="31" xfId="1" applyNumberFormat="1" applyFont="1" applyBorder="1" applyAlignment="1">
      <alignment horizontal="center" vertical="center" wrapText="1"/>
    </xf>
    <xf numFmtId="166" fontId="15" fillId="0" borderId="0" xfId="1" applyNumberFormat="1" applyFont="1" applyAlignment="1">
      <alignment vertical="center"/>
    </xf>
    <xf numFmtId="166" fontId="16" fillId="3" borderId="32" xfId="1" applyNumberFormat="1" applyFont="1" applyFill="1" applyBorder="1" applyAlignment="1">
      <alignment horizontal="center" vertical="center" wrapText="1"/>
    </xf>
    <xf numFmtId="0" fontId="11" fillId="0" borderId="26" xfId="1" applyFont="1" applyBorder="1" applyAlignment="1">
      <alignment vertical="center" wrapText="1"/>
    </xf>
    <xf numFmtId="0" fontId="13" fillId="4" borderId="0" xfId="1" applyFont="1" applyFill="1" applyAlignment="1">
      <alignment horizontal="left" vertical="center"/>
    </xf>
    <xf numFmtId="0" fontId="15" fillId="0" borderId="0" xfId="1" applyFont="1" applyAlignment="1">
      <alignment vertical="center"/>
    </xf>
    <xf numFmtId="0" fontId="10" fillId="0" borderId="0" xfId="1" applyFont="1" applyAlignment="1">
      <alignment vertical="center" wrapText="1"/>
    </xf>
    <xf numFmtId="0" fontId="9" fillId="0" borderId="0" xfId="1" applyAlignment="1">
      <alignment vertical="center" wrapText="1"/>
    </xf>
    <xf numFmtId="0" fontId="13" fillId="4" borderId="0" xfId="1" applyFont="1" applyFill="1" applyAlignment="1">
      <alignment horizontal="left" vertical="center" wrapText="1"/>
    </xf>
    <xf numFmtId="0" fontId="13" fillId="4" borderId="20" xfId="1" applyFont="1" applyFill="1" applyBorder="1" applyAlignment="1">
      <alignment horizontal="left" vertical="center"/>
    </xf>
    <xf numFmtId="0" fontId="15" fillId="0" borderId="20" xfId="1" applyFont="1" applyBorder="1" applyAlignment="1">
      <alignment vertical="center"/>
    </xf>
    <xf numFmtId="0" fontId="15" fillId="4" borderId="20" xfId="1" applyFont="1" applyFill="1" applyBorder="1" applyAlignment="1">
      <alignment vertical="center"/>
    </xf>
    <xf numFmtId="0" fontId="15" fillId="0" borderId="0" xfId="1" applyFont="1" applyAlignment="1">
      <alignment vertical="center" wrapText="1"/>
    </xf>
    <xf numFmtId="0" fontId="14" fillId="4" borderId="0" xfId="1" applyFont="1" applyFill="1" applyAlignment="1">
      <alignment horizontal="left" vertical="center"/>
    </xf>
  </cellXfs>
  <cellStyles count="2">
    <cellStyle name="Normal" xfId="0" builtinId="0"/>
    <cellStyle name="Normal 2" xfId="1"/>
  </cellStyles>
  <dxfs count="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705616/Local%20Settings/Temporary%20Internet%20Files/Content.IE5/8RATUDEF/Macintosh%20HDDOCUME~1/us705616/LOCALS~1/Temp/notesBAAA25/Web%20Downloads/acid-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IDUAL%20ALKALINITY%20CAL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6">
          <cell r="I6" t="str">
            <v>lactic</v>
          </cell>
        </row>
        <row r="7">
          <cell r="I7" t="str">
            <v>phosphoric</v>
          </cell>
        </row>
        <row r="8">
          <cell r="I8" t="str">
            <v>hydrochloric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Mash"/>
      <sheetName val="Scratch"/>
    </sheetNames>
    <sheetDataSet>
      <sheetData sheetId="0" refreshError="1"/>
      <sheetData sheetId="1"/>
      <sheetData sheetId="2">
        <row r="7">
          <cell r="J7" t="str">
            <v>Alkalinity as CaCO3</v>
          </cell>
        </row>
        <row r="8">
          <cell r="J8" t="str">
            <v>Bicarbonate (ppm)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B1:N34"/>
  <sheetViews>
    <sheetView tabSelected="1" workbookViewId="0">
      <selection activeCell="D5" sqref="D5"/>
    </sheetView>
  </sheetViews>
  <sheetFormatPr defaultRowHeight="12.75"/>
  <cols>
    <col min="1" max="1" width="1.28515625" style="2" customWidth="1"/>
    <col min="2" max="2" width="27.140625" style="2" bestFit="1" customWidth="1"/>
    <col min="3" max="3" width="6.28515625" style="2" hidden="1" customWidth="1"/>
    <col min="4" max="4" width="11.42578125" style="2" bestFit="1" customWidth="1"/>
    <col min="5" max="6" width="9.140625" style="2"/>
    <col min="7" max="7" width="25.42578125" style="2" customWidth="1"/>
    <col min="8" max="8" width="3.5703125" style="2" customWidth="1"/>
    <col min="9" max="9" width="22" style="2" customWidth="1"/>
    <col min="10" max="16384" width="9.140625" style="2"/>
  </cols>
  <sheetData>
    <row r="1" spans="2:14" ht="15.75">
      <c r="B1" s="1" t="s">
        <v>0</v>
      </c>
      <c r="C1" s="1"/>
    </row>
    <row r="2" spans="2:14">
      <c r="B2" s="2" t="s">
        <v>1</v>
      </c>
      <c r="D2" s="12">
        <v>6</v>
      </c>
      <c r="E2" s="2" t="s">
        <v>78</v>
      </c>
      <c r="F2" s="2">
        <f>Hops!F14</f>
        <v>0</v>
      </c>
    </row>
    <row r="3" spans="2:14">
      <c r="B3" s="2" t="s">
        <v>31</v>
      </c>
      <c r="D3" s="16"/>
      <c r="E3" s="2" t="s">
        <v>80</v>
      </c>
      <c r="F3" s="2">
        <f>F2/((D3-1)*1000)</f>
        <v>0</v>
      </c>
    </row>
    <row r="4" spans="2:14">
      <c r="B4" s="2" t="s">
        <v>29</v>
      </c>
      <c r="D4" s="21">
        <v>0.73</v>
      </c>
    </row>
    <row r="6" spans="2:14" ht="15.75">
      <c r="B6" s="4" t="s">
        <v>2</v>
      </c>
      <c r="C6" s="13"/>
      <c r="D6" s="20"/>
      <c r="E6" s="5"/>
      <c r="F6" s="5"/>
      <c r="G6" s="6"/>
      <c r="I6" s="4" t="s">
        <v>36</v>
      </c>
      <c r="J6" s="6"/>
    </row>
    <row r="7" spans="2:14" s="3" customFormat="1">
      <c r="B7" s="28" t="s">
        <v>3</v>
      </c>
      <c r="C7" s="28" t="s">
        <v>27</v>
      </c>
      <c r="D7" s="28" t="s">
        <v>4</v>
      </c>
      <c r="E7" s="28" t="s">
        <v>25</v>
      </c>
      <c r="F7" s="28" t="s">
        <v>30</v>
      </c>
      <c r="G7" s="28" t="s">
        <v>26</v>
      </c>
      <c r="I7" s="10" t="s">
        <v>37</v>
      </c>
      <c r="J7" s="22">
        <f>E34</f>
        <v>0</v>
      </c>
      <c r="K7" s="2"/>
      <c r="L7" s="2"/>
      <c r="M7" s="2"/>
      <c r="N7" s="2"/>
    </row>
    <row r="8" spans="2:14">
      <c r="B8" s="7" t="s">
        <v>5</v>
      </c>
      <c r="C8" s="14"/>
      <c r="D8" s="18" t="str">
        <f>IF(D34&gt;100%, "OVER 100%", " ")</f>
        <v xml:space="preserve"> </v>
      </c>
      <c r="E8" s="8"/>
      <c r="F8" s="8"/>
      <c r="G8" s="9"/>
      <c r="I8" s="10" t="s">
        <v>38</v>
      </c>
      <c r="J8" s="21">
        <v>0.15</v>
      </c>
    </row>
    <row r="9" spans="2:14">
      <c r="B9" s="10" t="s">
        <v>6</v>
      </c>
      <c r="C9" s="8">
        <v>36</v>
      </c>
      <c r="D9" s="17"/>
      <c r="E9" s="15" t="str">
        <f>IF(ISNUMBER(D9),((D2*((D3-1)*1000))*D9)/(D4*C9)," ")</f>
        <v xml:space="preserve"> </v>
      </c>
      <c r="F9" s="19" t="str">
        <f>IF(ISNUMBER(E9),E9*16*28.35/1000," ")</f>
        <v xml:space="preserve"> </v>
      </c>
      <c r="G9" s="9"/>
      <c r="I9" s="10" t="s">
        <v>40</v>
      </c>
      <c r="J9" s="12">
        <v>60</v>
      </c>
    </row>
    <row r="10" spans="2:14">
      <c r="B10" s="10" t="s">
        <v>7</v>
      </c>
      <c r="C10" s="8">
        <v>36</v>
      </c>
      <c r="D10" s="17"/>
      <c r="E10" s="15" t="str">
        <f>IF(ISNUMBER(D10),((D2*((D3-1)*1000))*D10)/(D4*C10)," ")</f>
        <v xml:space="preserve"> </v>
      </c>
      <c r="F10" s="19" t="str">
        <f t="shared" ref="F10:F33" si="0">IF(ISNUMBER(E10),E10*16*28.35/1000," ")</f>
        <v xml:space="preserve"> </v>
      </c>
      <c r="G10" s="9"/>
      <c r="I10" s="10" t="s">
        <v>39</v>
      </c>
      <c r="J10" s="12"/>
    </row>
    <row r="11" spans="2:14">
      <c r="B11" s="10" t="s">
        <v>8</v>
      </c>
      <c r="C11" s="8">
        <v>35</v>
      </c>
      <c r="D11" s="17"/>
      <c r="E11" s="15" t="str">
        <f>IF(ISNUMBER(D11),((D2*((D3-1)*1000))*D11)/(D4*C11)," ")</f>
        <v xml:space="preserve"> </v>
      </c>
      <c r="F11" s="19" t="str">
        <f t="shared" si="0"/>
        <v xml:space="preserve"> </v>
      </c>
      <c r="G11" s="9"/>
      <c r="I11" s="10" t="s">
        <v>41</v>
      </c>
      <c r="J11" s="12">
        <v>0.52</v>
      </c>
    </row>
    <row r="12" spans="2:14">
      <c r="B12" s="10" t="s">
        <v>9</v>
      </c>
      <c r="C12" s="8">
        <v>35</v>
      </c>
      <c r="D12" s="17"/>
      <c r="E12" s="15" t="str">
        <f>IF(ISNUMBER(D12),((D2*((D3-1)*1000))*D12)/(D4*C12)," ")</f>
        <v xml:space="preserve"> </v>
      </c>
      <c r="F12" s="19" t="str">
        <f t="shared" si="0"/>
        <v xml:space="preserve"> </v>
      </c>
      <c r="G12" s="9"/>
      <c r="I12" s="10"/>
      <c r="J12" s="9"/>
    </row>
    <row r="13" spans="2:14">
      <c r="B13" s="10" t="s">
        <v>10</v>
      </c>
      <c r="C13" s="8">
        <v>38</v>
      </c>
      <c r="D13" s="17"/>
      <c r="E13" s="15" t="str">
        <f>IF(ISNUMBER(D13),((D2*((D3-1)*1000))*D13)/(D4*C13)," ")</f>
        <v xml:space="preserve"> </v>
      </c>
      <c r="F13" s="19" t="str">
        <f t="shared" si="0"/>
        <v xml:space="preserve"> </v>
      </c>
      <c r="G13" s="9"/>
      <c r="I13" s="10" t="s">
        <v>42</v>
      </c>
      <c r="J13" s="22">
        <f>IF(ISNUMBER(J9),D2/( 1-(J8*(J9/60))), " ")</f>
        <v>7.0588235294117645</v>
      </c>
    </row>
    <row r="14" spans="2:14">
      <c r="B14" s="10" t="s">
        <v>11</v>
      </c>
      <c r="C14" s="8">
        <v>29</v>
      </c>
      <c r="D14" s="17"/>
      <c r="E14" s="15" t="str">
        <f>IF(ISNUMBER(D14),((D2*((D3-1)*1000))*D14)/(D4*C14)," ")</f>
        <v xml:space="preserve"> </v>
      </c>
      <c r="F14" s="19" t="str">
        <f t="shared" si="0"/>
        <v xml:space="preserve"> </v>
      </c>
      <c r="G14" s="9"/>
      <c r="I14" s="10" t="s">
        <v>43</v>
      </c>
      <c r="J14" s="22" t="str">
        <f>IF(ISNUMBER(J10),J7*J10, " ")</f>
        <v xml:space="preserve"> </v>
      </c>
    </row>
    <row r="15" spans="2:14">
      <c r="B15" s="7" t="s">
        <v>12</v>
      </c>
      <c r="C15" s="14"/>
      <c r="D15" s="18" t="str">
        <f>IF(D34&gt;100%, "OVER 100%", " ")</f>
        <v xml:space="preserve"> </v>
      </c>
      <c r="E15" s="15"/>
      <c r="F15" s="19"/>
      <c r="G15" s="9"/>
      <c r="I15" s="11" t="s">
        <v>44</v>
      </c>
      <c r="J15" s="23" t="str">
        <f>IF(ISNUMBER(J14), J13*4-J14+(J11*J7), " ")</f>
        <v xml:space="preserve"> </v>
      </c>
    </row>
    <row r="16" spans="2:14">
      <c r="B16" s="10" t="s">
        <v>34</v>
      </c>
      <c r="C16" s="8">
        <v>34</v>
      </c>
      <c r="D16" s="17"/>
      <c r="E16" s="15" t="str">
        <f>IF(ISNUMBER(D16),((D2*((D3-1)*1000))*D16)/(D4*C16)," ")</f>
        <v xml:space="preserve"> </v>
      </c>
      <c r="F16" s="19" t="str">
        <f t="shared" si="0"/>
        <v xml:space="preserve"> </v>
      </c>
      <c r="G16" s="9"/>
      <c r="I16" s="8"/>
      <c r="J16" s="15"/>
    </row>
    <row r="17" spans="2:10">
      <c r="B17" s="10" t="s">
        <v>32</v>
      </c>
      <c r="C17" s="8">
        <v>34</v>
      </c>
      <c r="D17" s="17"/>
      <c r="E17" s="15" t="str">
        <f>IF(ISNUMBER(D17),((D2*((D3-1)*1000))*D17)/(D4*C17)," ")</f>
        <v xml:space="preserve"> </v>
      </c>
      <c r="F17" s="19" t="str">
        <f t="shared" si="0"/>
        <v xml:space="preserve"> </v>
      </c>
      <c r="G17" s="9"/>
      <c r="I17" s="3" t="s">
        <v>46</v>
      </c>
      <c r="J17" s="12"/>
    </row>
    <row r="18" spans="2:10">
      <c r="B18" s="10" t="s">
        <v>33</v>
      </c>
      <c r="C18" s="8">
        <v>34</v>
      </c>
      <c r="D18" s="17"/>
      <c r="E18" s="15" t="str">
        <f>IF(ISNUMBER(D18),((D2*((D3-1)*1000))*D18)/(D4*C18)," ")</f>
        <v xml:space="preserve"> </v>
      </c>
      <c r="F18" s="19" t="str">
        <f t="shared" si="0"/>
        <v xml:space="preserve"> </v>
      </c>
      <c r="G18" s="9"/>
      <c r="I18" s="3" t="s">
        <v>45</v>
      </c>
      <c r="J18" s="12"/>
    </row>
    <row r="19" spans="2:10">
      <c r="B19" s="10" t="s">
        <v>13</v>
      </c>
      <c r="C19" s="8">
        <v>34</v>
      </c>
      <c r="D19" s="17"/>
      <c r="E19" s="15" t="str">
        <f>IF(ISNUMBER(D19),((D2*((D3-1)*1000))*D19)/(D4*C19)," ")</f>
        <v xml:space="preserve"> </v>
      </c>
      <c r="F19" s="19" t="str">
        <f t="shared" si="0"/>
        <v xml:space="preserve"> </v>
      </c>
      <c r="G19" s="9"/>
    </row>
    <row r="20" spans="2:10">
      <c r="B20" s="10" t="s">
        <v>14</v>
      </c>
      <c r="C20" s="8">
        <v>28</v>
      </c>
      <c r="D20" s="17"/>
      <c r="E20" s="15" t="str">
        <f>IF(ISNUMBER(D20),((D2*((D3-1)*1000))*D20)/(D4*C20)," ")</f>
        <v xml:space="preserve"> </v>
      </c>
      <c r="F20" s="19" t="str">
        <f t="shared" si="0"/>
        <v xml:space="preserve"> </v>
      </c>
      <c r="G20" s="9"/>
    </row>
    <row r="21" spans="2:10">
      <c r="B21" s="10" t="s">
        <v>35</v>
      </c>
      <c r="C21" s="8">
        <v>25</v>
      </c>
      <c r="D21" s="17"/>
      <c r="E21" s="15" t="str">
        <f>IF(ISNUMBER(D21),((D2*((D3-1)*1000))*D21)/(D4*C21)," ")</f>
        <v xml:space="preserve"> </v>
      </c>
      <c r="F21" s="19" t="str">
        <f t="shared" si="0"/>
        <v xml:space="preserve"> </v>
      </c>
      <c r="G21" s="9"/>
    </row>
    <row r="22" spans="2:10">
      <c r="B22" s="10" t="s">
        <v>15</v>
      </c>
      <c r="C22" s="8">
        <v>35</v>
      </c>
      <c r="D22" s="17"/>
      <c r="E22" s="15" t="str">
        <f>IF(ISNUMBER(D22),((D2*((D3-1)*1000))*D22)/(D4*C22)," ")</f>
        <v xml:space="preserve"> </v>
      </c>
      <c r="F22" s="19" t="str">
        <f t="shared" si="0"/>
        <v xml:space="preserve"> </v>
      </c>
      <c r="G22" s="9"/>
    </row>
    <row r="23" spans="2:10">
      <c r="B23" s="7" t="s">
        <v>16</v>
      </c>
      <c r="C23" s="14"/>
      <c r="D23" s="18" t="str">
        <f>IF(D34&gt;100%, "OVER 100%", " ")</f>
        <v xml:space="preserve"> </v>
      </c>
      <c r="E23" s="15"/>
      <c r="F23" s="19"/>
      <c r="G23" s="9"/>
    </row>
    <row r="24" spans="2:10">
      <c r="B24" s="10" t="s">
        <v>17</v>
      </c>
      <c r="C24" s="8">
        <v>33</v>
      </c>
      <c r="D24" s="17"/>
      <c r="E24" s="15" t="str">
        <f>IF(ISNUMBER(D24),((D2*((D3-1)*1000))*D24)/(D4*C24)," ")</f>
        <v xml:space="preserve"> </v>
      </c>
      <c r="F24" s="19" t="str">
        <f t="shared" si="0"/>
        <v xml:space="preserve"> </v>
      </c>
      <c r="G24" s="9"/>
    </row>
    <row r="25" spans="2:10">
      <c r="B25" s="10" t="s">
        <v>10</v>
      </c>
      <c r="C25" s="8">
        <v>36</v>
      </c>
      <c r="D25" s="17"/>
      <c r="E25" s="15" t="str">
        <f>IF(ISNUMBER(D25),((D2*((D3-1)*1000))*D25)/(D4*C25)," ")</f>
        <v xml:space="preserve"> </v>
      </c>
      <c r="F25" s="19" t="str">
        <f t="shared" si="0"/>
        <v xml:space="preserve"> </v>
      </c>
      <c r="G25" s="9"/>
    </row>
    <row r="26" spans="2:10">
      <c r="B26" s="10" t="s">
        <v>18</v>
      </c>
      <c r="C26" s="8">
        <v>32</v>
      </c>
      <c r="D26" s="17"/>
      <c r="E26" s="15" t="str">
        <f>IF(ISNUMBER(D26),((D2*((D3-1)*1000))*D26)/(D4*C26)," ")</f>
        <v xml:space="preserve"> </v>
      </c>
      <c r="F26" s="19" t="str">
        <f t="shared" si="0"/>
        <v xml:space="preserve"> </v>
      </c>
      <c r="G26" s="9"/>
    </row>
    <row r="27" spans="2:10">
      <c r="B27" s="10" t="s">
        <v>11</v>
      </c>
      <c r="C27" s="8">
        <v>36</v>
      </c>
      <c r="D27" s="17"/>
      <c r="E27" s="15" t="str">
        <f>IF(ISNUMBER(D27),((D2*((D3-1)*1000))*D27)/(D4*C27)," ")</f>
        <v xml:space="preserve"> </v>
      </c>
      <c r="F27" s="19" t="str">
        <f t="shared" si="0"/>
        <v xml:space="preserve"> </v>
      </c>
      <c r="G27" s="9"/>
    </row>
    <row r="28" spans="2:10">
      <c r="B28" s="7" t="s">
        <v>19</v>
      </c>
      <c r="C28" s="14"/>
      <c r="D28" s="18" t="str">
        <f>IF(D34&gt;100%, "OVER 100%", " ")</f>
        <v xml:space="preserve"> </v>
      </c>
      <c r="E28" s="15"/>
      <c r="F28" s="15"/>
      <c r="G28" s="9"/>
    </row>
    <row r="29" spans="2:10">
      <c r="B29" s="10" t="s">
        <v>20</v>
      </c>
      <c r="C29" s="8">
        <v>42</v>
      </c>
      <c r="D29" s="17"/>
      <c r="E29" s="15" t="str">
        <f>IF(ISNUMBER(D29),((D2*((D3-1)*1000))*D29)/(C29)," ")</f>
        <v xml:space="preserve"> </v>
      </c>
      <c r="F29" s="15" t="str">
        <f t="shared" si="0"/>
        <v xml:space="preserve"> </v>
      </c>
      <c r="G29" s="9"/>
    </row>
    <row r="30" spans="2:10">
      <c r="B30" s="10" t="s">
        <v>21</v>
      </c>
      <c r="C30" s="8">
        <v>38</v>
      </c>
      <c r="D30" s="17"/>
      <c r="E30" s="15" t="str">
        <f>IF(ISNUMBER(D30),((D2*((D3-1)*1000))*D30)/(C30)," ")</f>
        <v xml:space="preserve"> </v>
      </c>
      <c r="F30" s="15" t="str">
        <f t="shared" si="0"/>
        <v xml:space="preserve"> </v>
      </c>
      <c r="G30" s="9"/>
    </row>
    <row r="31" spans="2:10">
      <c r="B31" s="10" t="s">
        <v>22</v>
      </c>
      <c r="C31" s="8">
        <v>36</v>
      </c>
      <c r="D31" s="17"/>
      <c r="E31" s="15" t="str">
        <f>IF(ISNUMBER(D31),((D2*((D3-1)*1000))*D31)/(C31)," ")</f>
        <v xml:space="preserve"> </v>
      </c>
      <c r="F31" s="15" t="str">
        <f t="shared" si="0"/>
        <v xml:space="preserve"> </v>
      </c>
      <c r="G31" s="9"/>
    </row>
    <row r="32" spans="2:10">
      <c r="B32" s="10" t="s">
        <v>23</v>
      </c>
      <c r="C32" s="8">
        <v>30</v>
      </c>
      <c r="D32" s="17"/>
      <c r="E32" s="15" t="str">
        <f>IF(ISNUMBER(D32),((D2*((D3-1)*1000))*D32)/(C32)," ")</f>
        <v xml:space="preserve"> </v>
      </c>
      <c r="F32" s="15" t="str">
        <f t="shared" si="0"/>
        <v xml:space="preserve"> </v>
      </c>
      <c r="G32" s="9"/>
    </row>
    <row r="33" spans="2:7">
      <c r="B33" s="10" t="s">
        <v>24</v>
      </c>
      <c r="C33" s="8">
        <v>42</v>
      </c>
      <c r="D33" s="29"/>
      <c r="E33" s="15" t="str">
        <f>IF(ISNUMBER(D33),((D2*((D3-1)*1000))*D33)/(C33)," ")</f>
        <v xml:space="preserve"> </v>
      </c>
      <c r="F33" s="15" t="str">
        <f t="shared" si="0"/>
        <v xml:space="preserve"> </v>
      </c>
      <c r="G33" s="9"/>
    </row>
    <row r="34" spans="2:7">
      <c r="B34" s="24" t="s">
        <v>28</v>
      </c>
      <c r="C34" s="5"/>
      <c r="D34" s="25">
        <f>SUM(D9:D14)+SUM(D16:D22)+SUM(D24:D27)+SUM(D29:D33)</f>
        <v>0</v>
      </c>
      <c r="E34" s="26">
        <f>SUM(E9:E27)</f>
        <v>0</v>
      </c>
      <c r="F34" s="27">
        <f>SUM(F9:F27)</f>
        <v>0</v>
      </c>
      <c r="G34" s="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B2:J24"/>
  <sheetViews>
    <sheetView workbookViewId="0">
      <selection activeCell="E27" sqref="E27"/>
    </sheetView>
  </sheetViews>
  <sheetFormatPr defaultRowHeight="15"/>
  <cols>
    <col min="1" max="1" width="1.28515625" customWidth="1"/>
    <col min="2" max="2" width="37.85546875" customWidth="1"/>
    <col min="3" max="3" width="10.42578125" bestFit="1" customWidth="1"/>
    <col min="4" max="4" width="11.7109375" bestFit="1" customWidth="1"/>
    <col min="7" max="7" width="15.7109375" customWidth="1"/>
    <col min="8" max="8" width="16.28515625" customWidth="1"/>
    <col min="9" max="9" width="14.28515625" bestFit="1" customWidth="1"/>
    <col min="10" max="11" width="13.7109375" bestFit="1" customWidth="1"/>
  </cols>
  <sheetData>
    <row r="2" spans="2:10" s="58" customFormat="1">
      <c r="B2" s="59" t="s">
        <v>76</v>
      </c>
      <c r="C2" s="60" t="s">
        <v>72</v>
      </c>
      <c r="D2" s="60" t="s">
        <v>71</v>
      </c>
      <c r="E2" s="60" t="s">
        <v>77</v>
      </c>
      <c r="F2" s="60" t="s">
        <v>78</v>
      </c>
    </row>
    <row r="3" spans="2:10">
      <c r="B3" s="33"/>
      <c r="C3" s="33"/>
      <c r="D3" s="33"/>
      <c r="E3" s="33"/>
      <c r="F3" s="33"/>
      <c r="H3" s="30" t="s">
        <v>48</v>
      </c>
      <c r="I3" s="31"/>
      <c r="J3" s="32"/>
    </row>
    <row r="4" spans="2:10">
      <c r="B4" s="33"/>
      <c r="C4" s="33"/>
      <c r="D4" s="33"/>
      <c r="E4" s="33"/>
      <c r="F4" s="33"/>
      <c r="H4" s="33" t="s">
        <v>49</v>
      </c>
      <c r="I4" s="33" t="s">
        <v>50</v>
      </c>
      <c r="J4" s="34" t="s">
        <v>51</v>
      </c>
    </row>
    <row r="5" spans="2:10">
      <c r="B5" s="33"/>
      <c r="C5" s="33"/>
      <c r="D5" s="33"/>
      <c r="E5" s="33"/>
      <c r="F5" s="33"/>
      <c r="H5" s="35" t="s">
        <v>52</v>
      </c>
      <c r="I5" s="42">
        <v>0.05</v>
      </c>
      <c r="J5" s="43">
        <v>0.06</v>
      </c>
    </row>
    <row r="6" spans="2:10">
      <c r="B6" s="33"/>
      <c r="C6" s="33"/>
      <c r="D6" s="33"/>
      <c r="E6" s="33"/>
      <c r="F6" s="33"/>
      <c r="H6" s="37" t="s">
        <v>53</v>
      </c>
      <c r="I6" s="42">
        <v>0.12</v>
      </c>
      <c r="J6" s="43">
        <v>0.15</v>
      </c>
    </row>
    <row r="7" spans="2:10">
      <c r="B7" s="33"/>
      <c r="C7" s="33"/>
      <c r="D7" s="33"/>
      <c r="E7" s="33"/>
      <c r="F7" s="33"/>
      <c r="H7" s="35" t="s">
        <v>54</v>
      </c>
      <c r="I7" s="42">
        <v>0.15</v>
      </c>
      <c r="J7" s="43">
        <v>0.19</v>
      </c>
    </row>
    <row r="8" spans="2:10">
      <c r="B8" s="33"/>
      <c r="C8" s="33"/>
      <c r="D8" s="33"/>
      <c r="E8" s="33"/>
      <c r="F8" s="33"/>
      <c r="H8" s="35" t="s">
        <v>55</v>
      </c>
      <c r="I8" s="42">
        <v>0.19</v>
      </c>
      <c r="J8" s="43">
        <v>0.24</v>
      </c>
    </row>
    <row r="9" spans="2:10">
      <c r="B9" s="33"/>
      <c r="C9" s="33"/>
      <c r="D9" s="33"/>
      <c r="E9" s="33"/>
      <c r="F9" s="33"/>
      <c r="H9" s="35" t="s">
        <v>56</v>
      </c>
      <c r="I9" s="42">
        <v>0.22</v>
      </c>
      <c r="J9" s="43">
        <v>0.27</v>
      </c>
    </row>
    <row r="10" spans="2:10">
      <c r="B10" s="33"/>
      <c r="C10" s="33"/>
      <c r="D10" s="33"/>
      <c r="E10" s="33"/>
      <c r="F10" s="33"/>
      <c r="H10" s="35" t="s">
        <v>57</v>
      </c>
      <c r="I10" s="42">
        <v>0.24</v>
      </c>
      <c r="J10" s="43">
        <v>0.3</v>
      </c>
    </row>
    <row r="11" spans="2:10">
      <c r="B11" s="33"/>
      <c r="C11" s="33"/>
      <c r="D11" s="33"/>
      <c r="E11" s="33"/>
      <c r="F11" s="33"/>
      <c r="H11" s="40" t="s">
        <v>58</v>
      </c>
      <c r="I11" s="44">
        <v>0.27</v>
      </c>
      <c r="J11" s="45">
        <v>0.34</v>
      </c>
    </row>
    <row r="12" spans="2:10">
      <c r="B12" s="33"/>
      <c r="C12" s="33"/>
      <c r="D12" s="33"/>
      <c r="E12" s="33"/>
      <c r="F12" s="33"/>
    </row>
    <row r="13" spans="2:10">
      <c r="B13" s="33"/>
      <c r="C13" s="33"/>
      <c r="D13" s="33"/>
      <c r="E13" s="33"/>
      <c r="F13" s="33"/>
    </row>
    <row r="14" spans="2:10">
      <c r="B14" s="38"/>
      <c r="C14" s="38"/>
      <c r="D14" s="38"/>
      <c r="E14" s="63" t="s">
        <v>79</v>
      </c>
      <c r="F14" s="38">
        <f>SUM(F3:F13)</f>
        <v>0</v>
      </c>
    </row>
    <row r="16" spans="2:10" ht="15.75">
      <c r="B16" s="55" t="s">
        <v>47</v>
      </c>
      <c r="C16" s="48"/>
      <c r="D16" s="48"/>
      <c r="E16" s="34"/>
      <c r="G16" s="55" t="s">
        <v>59</v>
      </c>
      <c r="H16" s="61"/>
      <c r="I16" s="34"/>
    </row>
    <row r="17" spans="2:9">
      <c r="B17" s="49"/>
      <c r="C17" s="38"/>
      <c r="D17" s="38"/>
      <c r="E17" s="36"/>
      <c r="G17" s="49" t="s">
        <v>67</v>
      </c>
      <c r="H17" s="38"/>
      <c r="I17" s="39">
        <f>Grains!J13</f>
        <v>7.0588235294117645</v>
      </c>
    </row>
    <row r="18" spans="2:9">
      <c r="B18" s="49" t="s">
        <v>63</v>
      </c>
      <c r="C18" s="41"/>
      <c r="D18" s="38"/>
      <c r="E18" s="36"/>
      <c r="G18" s="49" t="s">
        <v>70</v>
      </c>
      <c r="H18" s="38"/>
      <c r="I18" s="50">
        <f>Grains!D3</f>
        <v>0</v>
      </c>
    </row>
    <row r="19" spans="2:9">
      <c r="B19" s="49" t="s">
        <v>62</v>
      </c>
      <c r="C19" s="46"/>
      <c r="D19" s="38"/>
      <c r="E19" s="36"/>
      <c r="G19" s="49" t="s">
        <v>66</v>
      </c>
      <c r="H19" s="38"/>
      <c r="I19" s="43">
        <f>Grains!J8</f>
        <v>0.15</v>
      </c>
    </row>
    <row r="20" spans="2:9">
      <c r="B20" s="49" t="s">
        <v>61</v>
      </c>
      <c r="C20" s="48">
        <f>Grains!D2</f>
        <v>6</v>
      </c>
      <c r="D20" s="38"/>
      <c r="E20" s="36"/>
      <c r="G20" s="49" t="s">
        <v>40</v>
      </c>
      <c r="H20" s="38"/>
      <c r="I20" s="36">
        <f>Grains!J9</f>
        <v>60</v>
      </c>
    </row>
    <row r="21" spans="2:9">
      <c r="B21" s="49" t="s">
        <v>60</v>
      </c>
      <c r="C21" s="47"/>
      <c r="D21" s="38" t="s">
        <v>73</v>
      </c>
      <c r="E21" s="36">
        <f>IF(C21&lt;1.05,1,1+((C21-1.05)/0.2))</f>
        <v>1</v>
      </c>
      <c r="G21" s="49" t="s">
        <v>68</v>
      </c>
      <c r="H21" s="49"/>
      <c r="I21" s="33"/>
    </row>
    <row r="22" spans="2:9">
      <c r="B22" s="49"/>
      <c r="C22" s="38"/>
      <c r="D22" s="38"/>
      <c r="E22" s="36"/>
      <c r="G22" s="49"/>
      <c r="H22" s="38"/>
      <c r="I22" s="36"/>
    </row>
    <row r="23" spans="2:9">
      <c r="B23" s="49" t="s">
        <v>64</v>
      </c>
      <c r="C23" s="33"/>
      <c r="D23" s="38" t="s">
        <v>74</v>
      </c>
      <c r="E23" s="57" t="str">
        <f>IF(C23&gt;0,(C23*C19*C18*7489/28.35)/(C20*E21)," ")</f>
        <v xml:space="preserve"> </v>
      </c>
      <c r="G23" s="51" t="s">
        <v>69</v>
      </c>
      <c r="H23" s="62"/>
      <c r="I23" s="52" t="str">
        <f>IF(ISNUMBER(I21), (((C20*(I18-1)*1000)/(I17-(I17*I19)*((I20-I21)/60)))/1000)+1, " ")</f>
        <v xml:space="preserve"> </v>
      </c>
    </row>
    <row r="24" spans="2:9">
      <c r="B24" s="53" t="s">
        <v>65</v>
      </c>
      <c r="C24" s="33"/>
      <c r="D24" s="54" t="s">
        <v>75</v>
      </c>
      <c r="E24" s="56" t="str">
        <f>IF(C24&gt;0,(C20*E21*C24)/(C18*C19*7489/28.35)," ")</f>
        <v xml:space="preserve">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U52"/>
  <sheetViews>
    <sheetView topLeftCell="A19" zoomScaleNormal="100" workbookViewId="0">
      <selection activeCell="I32" sqref="I32"/>
    </sheetView>
  </sheetViews>
  <sheetFormatPr defaultColWidth="15.28515625" defaultRowHeight="12"/>
  <cols>
    <col min="1" max="1" width="3" style="65" customWidth="1"/>
    <col min="2" max="2" width="12.42578125" style="64" customWidth="1"/>
    <col min="3" max="5" width="10.42578125" style="65" customWidth="1"/>
    <col min="6" max="9" width="10.42578125" style="64" customWidth="1"/>
    <col min="10" max="10" width="2.5703125" style="64" customWidth="1"/>
    <col min="11" max="12" width="12.140625" style="65" customWidth="1"/>
    <col min="13" max="15" width="10.42578125" style="65" customWidth="1"/>
    <col min="16" max="256" width="15.28515625" style="65"/>
    <col min="257" max="257" width="3" style="65" customWidth="1"/>
    <col min="258" max="258" width="12.42578125" style="65" customWidth="1"/>
    <col min="259" max="265" width="10.42578125" style="65" customWidth="1"/>
    <col min="266" max="266" width="2.5703125" style="65" customWidth="1"/>
    <col min="267" max="268" width="12.140625" style="65" customWidth="1"/>
    <col min="269" max="271" width="10.42578125" style="65" customWidth="1"/>
    <col min="272" max="512" width="15.28515625" style="65"/>
    <col min="513" max="513" width="3" style="65" customWidth="1"/>
    <col min="514" max="514" width="12.42578125" style="65" customWidth="1"/>
    <col min="515" max="521" width="10.42578125" style="65" customWidth="1"/>
    <col min="522" max="522" width="2.5703125" style="65" customWidth="1"/>
    <col min="523" max="524" width="12.140625" style="65" customWidth="1"/>
    <col min="525" max="527" width="10.42578125" style="65" customWidth="1"/>
    <col min="528" max="768" width="15.28515625" style="65"/>
    <col min="769" max="769" width="3" style="65" customWidth="1"/>
    <col min="770" max="770" width="12.42578125" style="65" customWidth="1"/>
    <col min="771" max="777" width="10.42578125" style="65" customWidth="1"/>
    <col min="778" max="778" width="2.5703125" style="65" customWidth="1"/>
    <col min="779" max="780" width="12.140625" style="65" customWidth="1"/>
    <col min="781" max="783" width="10.42578125" style="65" customWidth="1"/>
    <col min="784" max="1024" width="15.28515625" style="65"/>
    <col min="1025" max="1025" width="3" style="65" customWidth="1"/>
    <col min="1026" max="1026" width="12.42578125" style="65" customWidth="1"/>
    <col min="1027" max="1033" width="10.42578125" style="65" customWidth="1"/>
    <col min="1034" max="1034" width="2.5703125" style="65" customWidth="1"/>
    <col min="1035" max="1036" width="12.140625" style="65" customWidth="1"/>
    <col min="1037" max="1039" width="10.42578125" style="65" customWidth="1"/>
    <col min="1040" max="1280" width="15.28515625" style="65"/>
    <col min="1281" max="1281" width="3" style="65" customWidth="1"/>
    <col min="1282" max="1282" width="12.42578125" style="65" customWidth="1"/>
    <col min="1283" max="1289" width="10.42578125" style="65" customWidth="1"/>
    <col min="1290" max="1290" width="2.5703125" style="65" customWidth="1"/>
    <col min="1291" max="1292" width="12.140625" style="65" customWidth="1"/>
    <col min="1293" max="1295" width="10.42578125" style="65" customWidth="1"/>
    <col min="1296" max="1536" width="15.28515625" style="65"/>
    <col min="1537" max="1537" width="3" style="65" customWidth="1"/>
    <col min="1538" max="1538" width="12.42578125" style="65" customWidth="1"/>
    <col min="1539" max="1545" width="10.42578125" style="65" customWidth="1"/>
    <col min="1546" max="1546" width="2.5703125" style="65" customWidth="1"/>
    <col min="1547" max="1548" width="12.140625" style="65" customWidth="1"/>
    <col min="1549" max="1551" width="10.42578125" style="65" customWidth="1"/>
    <col min="1552" max="1792" width="15.28515625" style="65"/>
    <col min="1793" max="1793" width="3" style="65" customWidth="1"/>
    <col min="1794" max="1794" width="12.42578125" style="65" customWidth="1"/>
    <col min="1795" max="1801" width="10.42578125" style="65" customWidth="1"/>
    <col min="1802" max="1802" width="2.5703125" style="65" customWidth="1"/>
    <col min="1803" max="1804" width="12.140625" style="65" customWidth="1"/>
    <col min="1805" max="1807" width="10.42578125" style="65" customWidth="1"/>
    <col min="1808" max="2048" width="15.28515625" style="65"/>
    <col min="2049" max="2049" width="3" style="65" customWidth="1"/>
    <col min="2050" max="2050" width="12.42578125" style="65" customWidth="1"/>
    <col min="2051" max="2057" width="10.42578125" style="65" customWidth="1"/>
    <col min="2058" max="2058" width="2.5703125" style="65" customWidth="1"/>
    <col min="2059" max="2060" width="12.140625" style="65" customWidth="1"/>
    <col min="2061" max="2063" width="10.42578125" style="65" customWidth="1"/>
    <col min="2064" max="2304" width="15.28515625" style="65"/>
    <col min="2305" max="2305" width="3" style="65" customWidth="1"/>
    <col min="2306" max="2306" width="12.42578125" style="65" customWidth="1"/>
    <col min="2307" max="2313" width="10.42578125" style="65" customWidth="1"/>
    <col min="2314" max="2314" width="2.5703125" style="65" customWidth="1"/>
    <col min="2315" max="2316" width="12.140625" style="65" customWidth="1"/>
    <col min="2317" max="2319" width="10.42578125" style="65" customWidth="1"/>
    <col min="2320" max="2560" width="15.28515625" style="65"/>
    <col min="2561" max="2561" width="3" style="65" customWidth="1"/>
    <col min="2562" max="2562" width="12.42578125" style="65" customWidth="1"/>
    <col min="2563" max="2569" width="10.42578125" style="65" customWidth="1"/>
    <col min="2570" max="2570" width="2.5703125" style="65" customWidth="1"/>
    <col min="2571" max="2572" width="12.140625" style="65" customWidth="1"/>
    <col min="2573" max="2575" width="10.42578125" style="65" customWidth="1"/>
    <col min="2576" max="2816" width="15.28515625" style="65"/>
    <col min="2817" max="2817" width="3" style="65" customWidth="1"/>
    <col min="2818" max="2818" width="12.42578125" style="65" customWidth="1"/>
    <col min="2819" max="2825" width="10.42578125" style="65" customWidth="1"/>
    <col min="2826" max="2826" width="2.5703125" style="65" customWidth="1"/>
    <col min="2827" max="2828" width="12.140625" style="65" customWidth="1"/>
    <col min="2829" max="2831" width="10.42578125" style="65" customWidth="1"/>
    <col min="2832" max="3072" width="15.28515625" style="65"/>
    <col min="3073" max="3073" width="3" style="65" customWidth="1"/>
    <col min="3074" max="3074" width="12.42578125" style="65" customWidth="1"/>
    <col min="3075" max="3081" width="10.42578125" style="65" customWidth="1"/>
    <col min="3082" max="3082" width="2.5703125" style="65" customWidth="1"/>
    <col min="3083" max="3084" width="12.140625" style="65" customWidth="1"/>
    <col min="3085" max="3087" width="10.42578125" style="65" customWidth="1"/>
    <col min="3088" max="3328" width="15.28515625" style="65"/>
    <col min="3329" max="3329" width="3" style="65" customWidth="1"/>
    <col min="3330" max="3330" width="12.42578125" style="65" customWidth="1"/>
    <col min="3331" max="3337" width="10.42578125" style="65" customWidth="1"/>
    <col min="3338" max="3338" width="2.5703125" style="65" customWidth="1"/>
    <col min="3339" max="3340" width="12.140625" style="65" customWidth="1"/>
    <col min="3341" max="3343" width="10.42578125" style="65" customWidth="1"/>
    <col min="3344" max="3584" width="15.28515625" style="65"/>
    <col min="3585" max="3585" width="3" style="65" customWidth="1"/>
    <col min="3586" max="3586" width="12.42578125" style="65" customWidth="1"/>
    <col min="3587" max="3593" width="10.42578125" style="65" customWidth="1"/>
    <col min="3594" max="3594" width="2.5703125" style="65" customWidth="1"/>
    <col min="3595" max="3596" width="12.140625" style="65" customWidth="1"/>
    <col min="3597" max="3599" width="10.42578125" style="65" customWidth="1"/>
    <col min="3600" max="3840" width="15.28515625" style="65"/>
    <col min="3841" max="3841" width="3" style="65" customWidth="1"/>
    <col min="3842" max="3842" width="12.42578125" style="65" customWidth="1"/>
    <col min="3843" max="3849" width="10.42578125" style="65" customWidth="1"/>
    <col min="3850" max="3850" width="2.5703125" style="65" customWidth="1"/>
    <col min="3851" max="3852" width="12.140625" style="65" customWidth="1"/>
    <col min="3853" max="3855" width="10.42578125" style="65" customWidth="1"/>
    <col min="3856" max="4096" width="15.28515625" style="65"/>
    <col min="4097" max="4097" width="3" style="65" customWidth="1"/>
    <col min="4098" max="4098" width="12.42578125" style="65" customWidth="1"/>
    <col min="4099" max="4105" width="10.42578125" style="65" customWidth="1"/>
    <col min="4106" max="4106" width="2.5703125" style="65" customWidth="1"/>
    <col min="4107" max="4108" width="12.140625" style="65" customWidth="1"/>
    <col min="4109" max="4111" width="10.42578125" style="65" customWidth="1"/>
    <col min="4112" max="4352" width="15.28515625" style="65"/>
    <col min="4353" max="4353" width="3" style="65" customWidth="1"/>
    <col min="4354" max="4354" width="12.42578125" style="65" customWidth="1"/>
    <col min="4355" max="4361" width="10.42578125" style="65" customWidth="1"/>
    <col min="4362" max="4362" width="2.5703125" style="65" customWidth="1"/>
    <col min="4363" max="4364" width="12.140625" style="65" customWidth="1"/>
    <col min="4365" max="4367" width="10.42578125" style="65" customWidth="1"/>
    <col min="4368" max="4608" width="15.28515625" style="65"/>
    <col min="4609" max="4609" width="3" style="65" customWidth="1"/>
    <col min="4610" max="4610" width="12.42578125" style="65" customWidth="1"/>
    <col min="4611" max="4617" width="10.42578125" style="65" customWidth="1"/>
    <col min="4618" max="4618" width="2.5703125" style="65" customWidth="1"/>
    <col min="4619" max="4620" width="12.140625" style="65" customWidth="1"/>
    <col min="4621" max="4623" width="10.42578125" style="65" customWidth="1"/>
    <col min="4624" max="4864" width="15.28515625" style="65"/>
    <col min="4865" max="4865" width="3" style="65" customWidth="1"/>
    <col min="4866" max="4866" width="12.42578125" style="65" customWidth="1"/>
    <col min="4867" max="4873" width="10.42578125" style="65" customWidth="1"/>
    <col min="4874" max="4874" width="2.5703125" style="65" customWidth="1"/>
    <col min="4875" max="4876" width="12.140625" style="65" customWidth="1"/>
    <col min="4877" max="4879" width="10.42578125" style="65" customWidth="1"/>
    <col min="4880" max="5120" width="15.28515625" style="65"/>
    <col min="5121" max="5121" width="3" style="65" customWidth="1"/>
    <col min="5122" max="5122" width="12.42578125" style="65" customWidth="1"/>
    <col min="5123" max="5129" width="10.42578125" style="65" customWidth="1"/>
    <col min="5130" max="5130" width="2.5703125" style="65" customWidth="1"/>
    <col min="5131" max="5132" width="12.140625" style="65" customWidth="1"/>
    <col min="5133" max="5135" width="10.42578125" style="65" customWidth="1"/>
    <col min="5136" max="5376" width="15.28515625" style="65"/>
    <col min="5377" max="5377" width="3" style="65" customWidth="1"/>
    <col min="5378" max="5378" width="12.42578125" style="65" customWidth="1"/>
    <col min="5379" max="5385" width="10.42578125" style="65" customWidth="1"/>
    <col min="5386" max="5386" width="2.5703125" style="65" customWidth="1"/>
    <col min="5387" max="5388" width="12.140625" style="65" customWidth="1"/>
    <col min="5389" max="5391" width="10.42578125" style="65" customWidth="1"/>
    <col min="5392" max="5632" width="15.28515625" style="65"/>
    <col min="5633" max="5633" width="3" style="65" customWidth="1"/>
    <col min="5634" max="5634" width="12.42578125" style="65" customWidth="1"/>
    <col min="5635" max="5641" width="10.42578125" style="65" customWidth="1"/>
    <col min="5642" max="5642" width="2.5703125" style="65" customWidth="1"/>
    <col min="5643" max="5644" width="12.140625" style="65" customWidth="1"/>
    <col min="5645" max="5647" width="10.42578125" style="65" customWidth="1"/>
    <col min="5648" max="5888" width="15.28515625" style="65"/>
    <col min="5889" max="5889" width="3" style="65" customWidth="1"/>
    <col min="5890" max="5890" width="12.42578125" style="65" customWidth="1"/>
    <col min="5891" max="5897" width="10.42578125" style="65" customWidth="1"/>
    <col min="5898" max="5898" width="2.5703125" style="65" customWidth="1"/>
    <col min="5899" max="5900" width="12.140625" style="65" customWidth="1"/>
    <col min="5901" max="5903" width="10.42578125" style="65" customWidth="1"/>
    <col min="5904" max="6144" width="15.28515625" style="65"/>
    <col min="6145" max="6145" width="3" style="65" customWidth="1"/>
    <col min="6146" max="6146" width="12.42578125" style="65" customWidth="1"/>
    <col min="6147" max="6153" width="10.42578125" style="65" customWidth="1"/>
    <col min="6154" max="6154" width="2.5703125" style="65" customWidth="1"/>
    <col min="6155" max="6156" width="12.140625" style="65" customWidth="1"/>
    <col min="6157" max="6159" width="10.42578125" style="65" customWidth="1"/>
    <col min="6160" max="6400" width="15.28515625" style="65"/>
    <col min="6401" max="6401" width="3" style="65" customWidth="1"/>
    <col min="6402" max="6402" width="12.42578125" style="65" customWidth="1"/>
    <col min="6403" max="6409" width="10.42578125" style="65" customWidth="1"/>
    <col min="6410" max="6410" width="2.5703125" style="65" customWidth="1"/>
    <col min="6411" max="6412" width="12.140625" style="65" customWidth="1"/>
    <col min="6413" max="6415" width="10.42578125" style="65" customWidth="1"/>
    <col min="6416" max="6656" width="15.28515625" style="65"/>
    <col min="6657" max="6657" width="3" style="65" customWidth="1"/>
    <col min="6658" max="6658" width="12.42578125" style="65" customWidth="1"/>
    <col min="6659" max="6665" width="10.42578125" style="65" customWidth="1"/>
    <col min="6666" max="6666" width="2.5703125" style="65" customWidth="1"/>
    <col min="6667" max="6668" width="12.140625" style="65" customWidth="1"/>
    <col min="6669" max="6671" width="10.42578125" style="65" customWidth="1"/>
    <col min="6672" max="6912" width="15.28515625" style="65"/>
    <col min="6913" max="6913" width="3" style="65" customWidth="1"/>
    <col min="6914" max="6914" width="12.42578125" style="65" customWidth="1"/>
    <col min="6915" max="6921" width="10.42578125" style="65" customWidth="1"/>
    <col min="6922" max="6922" width="2.5703125" style="65" customWidth="1"/>
    <col min="6923" max="6924" width="12.140625" style="65" customWidth="1"/>
    <col min="6925" max="6927" width="10.42578125" style="65" customWidth="1"/>
    <col min="6928" max="7168" width="15.28515625" style="65"/>
    <col min="7169" max="7169" width="3" style="65" customWidth="1"/>
    <col min="7170" max="7170" width="12.42578125" style="65" customWidth="1"/>
    <col min="7171" max="7177" width="10.42578125" style="65" customWidth="1"/>
    <col min="7178" max="7178" width="2.5703125" style="65" customWidth="1"/>
    <col min="7179" max="7180" width="12.140625" style="65" customWidth="1"/>
    <col min="7181" max="7183" width="10.42578125" style="65" customWidth="1"/>
    <col min="7184" max="7424" width="15.28515625" style="65"/>
    <col min="7425" max="7425" width="3" style="65" customWidth="1"/>
    <col min="7426" max="7426" width="12.42578125" style="65" customWidth="1"/>
    <col min="7427" max="7433" width="10.42578125" style="65" customWidth="1"/>
    <col min="7434" max="7434" width="2.5703125" style="65" customWidth="1"/>
    <col min="7435" max="7436" width="12.140625" style="65" customWidth="1"/>
    <col min="7437" max="7439" width="10.42578125" style="65" customWidth="1"/>
    <col min="7440" max="7680" width="15.28515625" style="65"/>
    <col min="7681" max="7681" width="3" style="65" customWidth="1"/>
    <col min="7682" max="7682" width="12.42578125" style="65" customWidth="1"/>
    <col min="7683" max="7689" width="10.42578125" style="65" customWidth="1"/>
    <col min="7690" max="7690" width="2.5703125" style="65" customWidth="1"/>
    <col min="7691" max="7692" width="12.140625" style="65" customWidth="1"/>
    <col min="7693" max="7695" width="10.42578125" style="65" customWidth="1"/>
    <col min="7696" max="7936" width="15.28515625" style="65"/>
    <col min="7937" max="7937" width="3" style="65" customWidth="1"/>
    <col min="7938" max="7938" width="12.42578125" style="65" customWidth="1"/>
    <col min="7939" max="7945" width="10.42578125" style="65" customWidth="1"/>
    <col min="7946" max="7946" width="2.5703125" style="65" customWidth="1"/>
    <col min="7947" max="7948" width="12.140625" style="65" customWidth="1"/>
    <col min="7949" max="7951" width="10.42578125" style="65" customWidth="1"/>
    <col min="7952" max="8192" width="15.28515625" style="65"/>
    <col min="8193" max="8193" width="3" style="65" customWidth="1"/>
    <col min="8194" max="8194" width="12.42578125" style="65" customWidth="1"/>
    <col min="8195" max="8201" width="10.42578125" style="65" customWidth="1"/>
    <col min="8202" max="8202" width="2.5703125" style="65" customWidth="1"/>
    <col min="8203" max="8204" width="12.140625" style="65" customWidth="1"/>
    <col min="8205" max="8207" width="10.42578125" style="65" customWidth="1"/>
    <col min="8208" max="8448" width="15.28515625" style="65"/>
    <col min="8449" max="8449" width="3" style="65" customWidth="1"/>
    <col min="8450" max="8450" width="12.42578125" style="65" customWidth="1"/>
    <col min="8451" max="8457" width="10.42578125" style="65" customWidth="1"/>
    <col min="8458" max="8458" width="2.5703125" style="65" customWidth="1"/>
    <col min="8459" max="8460" width="12.140625" style="65" customWidth="1"/>
    <col min="8461" max="8463" width="10.42578125" style="65" customWidth="1"/>
    <col min="8464" max="8704" width="15.28515625" style="65"/>
    <col min="8705" max="8705" width="3" style="65" customWidth="1"/>
    <col min="8706" max="8706" width="12.42578125" style="65" customWidth="1"/>
    <col min="8707" max="8713" width="10.42578125" style="65" customWidth="1"/>
    <col min="8714" max="8714" width="2.5703125" style="65" customWidth="1"/>
    <col min="8715" max="8716" width="12.140625" style="65" customWidth="1"/>
    <col min="8717" max="8719" width="10.42578125" style="65" customWidth="1"/>
    <col min="8720" max="8960" width="15.28515625" style="65"/>
    <col min="8961" max="8961" width="3" style="65" customWidth="1"/>
    <col min="8962" max="8962" width="12.42578125" style="65" customWidth="1"/>
    <col min="8963" max="8969" width="10.42578125" style="65" customWidth="1"/>
    <col min="8970" max="8970" width="2.5703125" style="65" customWidth="1"/>
    <col min="8971" max="8972" width="12.140625" style="65" customWidth="1"/>
    <col min="8973" max="8975" width="10.42578125" style="65" customWidth="1"/>
    <col min="8976" max="9216" width="15.28515625" style="65"/>
    <col min="9217" max="9217" width="3" style="65" customWidth="1"/>
    <col min="9218" max="9218" width="12.42578125" style="65" customWidth="1"/>
    <col min="9219" max="9225" width="10.42578125" style="65" customWidth="1"/>
    <col min="9226" max="9226" width="2.5703125" style="65" customWidth="1"/>
    <col min="9227" max="9228" width="12.140625" style="65" customWidth="1"/>
    <col min="9229" max="9231" width="10.42578125" style="65" customWidth="1"/>
    <col min="9232" max="9472" width="15.28515625" style="65"/>
    <col min="9473" max="9473" width="3" style="65" customWidth="1"/>
    <col min="9474" max="9474" width="12.42578125" style="65" customWidth="1"/>
    <col min="9475" max="9481" width="10.42578125" style="65" customWidth="1"/>
    <col min="9482" max="9482" width="2.5703125" style="65" customWidth="1"/>
    <col min="9483" max="9484" width="12.140625" style="65" customWidth="1"/>
    <col min="9485" max="9487" width="10.42578125" style="65" customWidth="1"/>
    <col min="9488" max="9728" width="15.28515625" style="65"/>
    <col min="9729" max="9729" width="3" style="65" customWidth="1"/>
    <col min="9730" max="9730" width="12.42578125" style="65" customWidth="1"/>
    <col min="9731" max="9737" width="10.42578125" style="65" customWidth="1"/>
    <col min="9738" max="9738" width="2.5703125" style="65" customWidth="1"/>
    <col min="9739" max="9740" width="12.140625" style="65" customWidth="1"/>
    <col min="9741" max="9743" width="10.42578125" style="65" customWidth="1"/>
    <col min="9744" max="9984" width="15.28515625" style="65"/>
    <col min="9985" max="9985" width="3" style="65" customWidth="1"/>
    <col min="9986" max="9986" width="12.42578125" style="65" customWidth="1"/>
    <col min="9987" max="9993" width="10.42578125" style="65" customWidth="1"/>
    <col min="9994" max="9994" width="2.5703125" style="65" customWidth="1"/>
    <col min="9995" max="9996" width="12.140625" style="65" customWidth="1"/>
    <col min="9997" max="9999" width="10.42578125" style="65" customWidth="1"/>
    <col min="10000" max="10240" width="15.28515625" style="65"/>
    <col min="10241" max="10241" width="3" style="65" customWidth="1"/>
    <col min="10242" max="10242" width="12.42578125" style="65" customWidth="1"/>
    <col min="10243" max="10249" width="10.42578125" style="65" customWidth="1"/>
    <col min="10250" max="10250" width="2.5703125" style="65" customWidth="1"/>
    <col min="10251" max="10252" width="12.140625" style="65" customWidth="1"/>
    <col min="10253" max="10255" width="10.42578125" style="65" customWidth="1"/>
    <col min="10256" max="10496" width="15.28515625" style="65"/>
    <col min="10497" max="10497" width="3" style="65" customWidth="1"/>
    <col min="10498" max="10498" width="12.42578125" style="65" customWidth="1"/>
    <col min="10499" max="10505" width="10.42578125" style="65" customWidth="1"/>
    <col min="10506" max="10506" width="2.5703125" style="65" customWidth="1"/>
    <col min="10507" max="10508" width="12.140625" style="65" customWidth="1"/>
    <col min="10509" max="10511" width="10.42578125" style="65" customWidth="1"/>
    <col min="10512" max="10752" width="15.28515625" style="65"/>
    <col min="10753" max="10753" width="3" style="65" customWidth="1"/>
    <col min="10754" max="10754" width="12.42578125" style="65" customWidth="1"/>
    <col min="10755" max="10761" width="10.42578125" style="65" customWidth="1"/>
    <col min="10762" max="10762" width="2.5703125" style="65" customWidth="1"/>
    <col min="10763" max="10764" width="12.140625" style="65" customWidth="1"/>
    <col min="10765" max="10767" width="10.42578125" style="65" customWidth="1"/>
    <col min="10768" max="11008" width="15.28515625" style="65"/>
    <col min="11009" max="11009" width="3" style="65" customWidth="1"/>
    <col min="11010" max="11010" width="12.42578125" style="65" customWidth="1"/>
    <col min="11011" max="11017" width="10.42578125" style="65" customWidth="1"/>
    <col min="11018" max="11018" width="2.5703125" style="65" customWidth="1"/>
    <col min="11019" max="11020" width="12.140625" style="65" customWidth="1"/>
    <col min="11021" max="11023" width="10.42578125" style="65" customWidth="1"/>
    <col min="11024" max="11264" width="15.28515625" style="65"/>
    <col min="11265" max="11265" width="3" style="65" customWidth="1"/>
    <col min="11266" max="11266" width="12.42578125" style="65" customWidth="1"/>
    <col min="11267" max="11273" width="10.42578125" style="65" customWidth="1"/>
    <col min="11274" max="11274" width="2.5703125" style="65" customWidth="1"/>
    <col min="11275" max="11276" width="12.140625" style="65" customWidth="1"/>
    <col min="11277" max="11279" width="10.42578125" style="65" customWidth="1"/>
    <col min="11280" max="11520" width="15.28515625" style="65"/>
    <col min="11521" max="11521" width="3" style="65" customWidth="1"/>
    <col min="11522" max="11522" width="12.42578125" style="65" customWidth="1"/>
    <col min="11523" max="11529" width="10.42578125" style="65" customWidth="1"/>
    <col min="11530" max="11530" width="2.5703125" style="65" customWidth="1"/>
    <col min="11531" max="11532" width="12.140625" style="65" customWidth="1"/>
    <col min="11533" max="11535" width="10.42578125" style="65" customWidth="1"/>
    <col min="11536" max="11776" width="15.28515625" style="65"/>
    <col min="11777" max="11777" width="3" style="65" customWidth="1"/>
    <col min="11778" max="11778" width="12.42578125" style="65" customWidth="1"/>
    <col min="11779" max="11785" width="10.42578125" style="65" customWidth="1"/>
    <col min="11786" max="11786" width="2.5703125" style="65" customWidth="1"/>
    <col min="11787" max="11788" width="12.140625" style="65" customWidth="1"/>
    <col min="11789" max="11791" width="10.42578125" style="65" customWidth="1"/>
    <col min="11792" max="12032" width="15.28515625" style="65"/>
    <col min="12033" max="12033" width="3" style="65" customWidth="1"/>
    <col min="12034" max="12034" width="12.42578125" style="65" customWidth="1"/>
    <col min="12035" max="12041" width="10.42578125" style="65" customWidth="1"/>
    <col min="12042" max="12042" width="2.5703125" style="65" customWidth="1"/>
    <col min="12043" max="12044" width="12.140625" style="65" customWidth="1"/>
    <col min="12045" max="12047" width="10.42578125" style="65" customWidth="1"/>
    <col min="12048" max="12288" width="15.28515625" style="65"/>
    <col min="12289" max="12289" width="3" style="65" customWidth="1"/>
    <col min="12290" max="12290" width="12.42578125" style="65" customWidth="1"/>
    <col min="12291" max="12297" width="10.42578125" style="65" customWidth="1"/>
    <col min="12298" max="12298" width="2.5703125" style="65" customWidth="1"/>
    <col min="12299" max="12300" width="12.140625" style="65" customWidth="1"/>
    <col min="12301" max="12303" width="10.42578125" style="65" customWidth="1"/>
    <col min="12304" max="12544" width="15.28515625" style="65"/>
    <col min="12545" max="12545" width="3" style="65" customWidth="1"/>
    <col min="12546" max="12546" width="12.42578125" style="65" customWidth="1"/>
    <col min="12547" max="12553" width="10.42578125" style="65" customWidth="1"/>
    <col min="12554" max="12554" width="2.5703125" style="65" customWidth="1"/>
    <col min="12555" max="12556" width="12.140625" style="65" customWidth="1"/>
    <col min="12557" max="12559" width="10.42578125" style="65" customWidth="1"/>
    <col min="12560" max="12800" width="15.28515625" style="65"/>
    <col min="12801" max="12801" width="3" style="65" customWidth="1"/>
    <col min="12802" max="12802" width="12.42578125" style="65" customWidth="1"/>
    <col min="12803" max="12809" width="10.42578125" style="65" customWidth="1"/>
    <col min="12810" max="12810" width="2.5703125" style="65" customWidth="1"/>
    <col min="12811" max="12812" width="12.140625" style="65" customWidth="1"/>
    <col min="12813" max="12815" width="10.42578125" style="65" customWidth="1"/>
    <col min="12816" max="13056" width="15.28515625" style="65"/>
    <col min="13057" max="13057" width="3" style="65" customWidth="1"/>
    <col min="13058" max="13058" width="12.42578125" style="65" customWidth="1"/>
    <col min="13059" max="13065" width="10.42578125" style="65" customWidth="1"/>
    <col min="13066" max="13066" width="2.5703125" style="65" customWidth="1"/>
    <col min="13067" max="13068" width="12.140625" style="65" customWidth="1"/>
    <col min="13069" max="13071" width="10.42578125" style="65" customWidth="1"/>
    <col min="13072" max="13312" width="15.28515625" style="65"/>
    <col min="13313" max="13313" width="3" style="65" customWidth="1"/>
    <col min="13314" max="13314" width="12.42578125" style="65" customWidth="1"/>
    <col min="13315" max="13321" width="10.42578125" style="65" customWidth="1"/>
    <col min="13322" max="13322" width="2.5703125" style="65" customWidth="1"/>
    <col min="13323" max="13324" width="12.140625" style="65" customWidth="1"/>
    <col min="13325" max="13327" width="10.42578125" style="65" customWidth="1"/>
    <col min="13328" max="13568" width="15.28515625" style="65"/>
    <col min="13569" max="13569" width="3" style="65" customWidth="1"/>
    <col min="13570" max="13570" width="12.42578125" style="65" customWidth="1"/>
    <col min="13571" max="13577" width="10.42578125" style="65" customWidth="1"/>
    <col min="13578" max="13578" width="2.5703125" style="65" customWidth="1"/>
    <col min="13579" max="13580" width="12.140625" style="65" customWidth="1"/>
    <col min="13581" max="13583" width="10.42578125" style="65" customWidth="1"/>
    <col min="13584" max="13824" width="15.28515625" style="65"/>
    <col min="13825" max="13825" width="3" style="65" customWidth="1"/>
    <col min="13826" max="13826" width="12.42578125" style="65" customWidth="1"/>
    <col min="13827" max="13833" width="10.42578125" style="65" customWidth="1"/>
    <col min="13834" max="13834" width="2.5703125" style="65" customWidth="1"/>
    <col min="13835" max="13836" width="12.140625" style="65" customWidth="1"/>
    <col min="13837" max="13839" width="10.42578125" style="65" customWidth="1"/>
    <col min="13840" max="14080" width="15.28515625" style="65"/>
    <col min="14081" max="14081" width="3" style="65" customWidth="1"/>
    <col min="14082" max="14082" width="12.42578125" style="65" customWidth="1"/>
    <col min="14083" max="14089" width="10.42578125" style="65" customWidth="1"/>
    <col min="14090" max="14090" width="2.5703125" style="65" customWidth="1"/>
    <col min="14091" max="14092" width="12.140625" style="65" customWidth="1"/>
    <col min="14093" max="14095" width="10.42578125" style="65" customWidth="1"/>
    <col min="14096" max="14336" width="15.28515625" style="65"/>
    <col min="14337" max="14337" width="3" style="65" customWidth="1"/>
    <col min="14338" max="14338" width="12.42578125" style="65" customWidth="1"/>
    <col min="14339" max="14345" width="10.42578125" style="65" customWidth="1"/>
    <col min="14346" max="14346" width="2.5703125" style="65" customWidth="1"/>
    <col min="14347" max="14348" width="12.140625" style="65" customWidth="1"/>
    <col min="14349" max="14351" width="10.42578125" style="65" customWidth="1"/>
    <col min="14352" max="14592" width="15.28515625" style="65"/>
    <col min="14593" max="14593" width="3" style="65" customWidth="1"/>
    <col min="14594" max="14594" width="12.42578125" style="65" customWidth="1"/>
    <col min="14595" max="14601" width="10.42578125" style="65" customWidth="1"/>
    <col min="14602" max="14602" width="2.5703125" style="65" customWidth="1"/>
    <col min="14603" max="14604" width="12.140625" style="65" customWidth="1"/>
    <col min="14605" max="14607" width="10.42578125" style="65" customWidth="1"/>
    <col min="14608" max="14848" width="15.28515625" style="65"/>
    <col min="14849" max="14849" width="3" style="65" customWidth="1"/>
    <col min="14850" max="14850" width="12.42578125" style="65" customWidth="1"/>
    <col min="14851" max="14857" width="10.42578125" style="65" customWidth="1"/>
    <col min="14858" max="14858" width="2.5703125" style="65" customWidth="1"/>
    <col min="14859" max="14860" width="12.140625" style="65" customWidth="1"/>
    <col min="14861" max="14863" width="10.42578125" style="65" customWidth="1"/>
    <col min="14864" max="15104" width="15.28515625" style="65"/>
    <col min="15105" max="15105" width="3" style="65" customWidth="1"/>
    <col min="15106" max="15106" width="12.42578125" style="65" customWidth="1"/>
    <col min="15107" max="15113" width="10.42578125" style="65" customWidth="1"/>
    <col min="15114" max="15114" width="2.5703125" style="65" customWidth="1"/>
    <col min="15115" max="15116" width="12.140625" style="65" customWidth="1"/>
    <col min="15117" max="15119" width="10.42578125" style="65" customWidth="1"/>
    <col min="15120" max="15360" width="15.28515625" style="65"/>
    <col min="15361" max="15361" width="3" style="65" customWidth="1"/>
    <col min="15362" max="15362" width="12.42578125" style="65" customWidth="1"/>
    <col min="15363" max="15369" width="10.42578125" style="65" customWidth="1"/>
    <col min="15370" max="15370" width="2.5703125" style="65" customWidth="1"/>
    <col min="15371" max="15372" width="12.140625" style="65" customWidth="1"/>
    <col min="15373" max="15375" width="10.42578125" style="65" customWidth="1"/>
    <col min="15376" max="15616" width="15.28515625" style="65"/>
    <col min="15617" max="15617" width="3" style="65" customWidth="1"/>
    <col min="15618" max="15618" width="12.42578125" style="65" customWidth="1"/>
    <col min="15619" max="15625" width="10.42578125" style="65" customWidth="1"/>
    <col min="15626" max="15626" width="2.5703125" style="65" customWidth="1"/>
    <col min="15627" max="15628" width="12.140625" style="65" customWidth="1"/>
    <col min="15629" max="15631" width="10.42578125" style="65" customWidth="1"/>
    <col min="15632" max="15872" width="15.28515625" style="65"/>
    <col min="15873" max="15873" width="3" style="65" customWidth="1"/>
    <col min="15874" max="15874" width="12.42578125" style="65" customWidth="1"/>
    <col min="15875" max="15881" width="10.42578125" style="65" customWidth="1"/>
    <col min="15882" max="15882" width="2.5703125" style="65" customWidth="1"/>
    <col min="15883" max="15884" width="12.140625" style="65" customWidth="1"/>
    <col min="15885" max="15887" width="10.42578125" style="65" customWidth="1"/>
    <col min="15888" max="16128" width="15.28515625" style="65"/>
    <col min="16129" max="16129" width="3" style="65" customWidth="1"/>
    <col min="16130" max="16130" width="12.42578125" style="65" customWidth="1"/>
    <col min="16131" max="16137" width="10.42578125" style="65" customWidth="1"/>
    <col min="16138" max="16138" width="2.5703125" style="65" customWidth="1"/>
    <col min="16139" max="16140" width="12.140625" style="65" customWidth="1"/>
    <col min="16141" max="16143" width="10.42578125" style="65" customWidth="1"/>
    <col min="16144" max="16384" width="15.28515625" style="65"/>
  </cols>
  <sheetData>
    <row r="1" spans="2:21" ht="35.1" customHeight="1">
      <c r="B1" s="160" t="s">
        <v>81</v>
      </c>
      <c r="C1" s="161"/>
      <c r="D1" s="161"/>
      <c r="E1" s="161"/>
      <c r="F1" s="161"/>
      <c r="G1" s="161"/>
      <c r="H1" s="161"/>
      <c r="I1" s="161"/>
    </row>
    <row r="2" spans="2:21">
      <c r="C2" s="66"/>
      <c r="D2" s="67" t="s">
        <v>82</v>
      </c>
      <c r="G2" s="68" t="s">
        <v>83</v>
      </c>
    </row>
    <row r="3" spans="2:21" s="69" customFormat="1" ht="24">
      <c r="C3" s="70"/>
      <c r="D3" s="67" t="s">
        <v>84</v>
      </c>
      <c r="F3" s="69" t="s">
        <v>85</v>
      </c>
      <c r="G3" s="68"/>
      <c r="I3" s="68"/>
      <c r="J3" s="68"/>
    </row>
    <row r="4" spans="2:21" s="69" customFormat="1">
      <c r="F4" s="68"/>
      <c r="G4" s="68"/>
      <c r="H4" s="68"/>
      <c r="I4" s="68"/>
      <c r="J4" s="68"/>
    </row>
    <row r="5" spans="2:21" s="69" customFormat="1">
      <c r="B5" s="162" t="s">
        <v>86</v>
      </c>
      <c r="C5" s="159"/>
      <c r="D5" s="159"/>
      <c r="E5" s="159"/>
      <c r="F5" s="159"/>
      <c r="G5" s="159"/>
      <c r="H5" s="159"/>
      <c r="I5" s="159"/>
      <c r="J5" s="71"/>
      <c r="K5" s="72"/>
      <c r="L5" s="72"/>
      <c r="M5" s="72"/>
      <c r="N5" s="72"/>
      <c r="O5" s="72"/>
    </row>
    <row r="6" spans="2:21" s="69" customFormat="1" ht="35.1" customHeight="1" thickBot="1">
      <c r="B6" s="159"/>
      <c r="C6" s="159"/>
      <c r="D6" s="159"/>
      <c r="E6" s="159"/>
      <c r="F6" s="159"/>
      <c r="G6" s="159"/>
      <c r="H6" s="159"/>
      <c r="I6" s="159"/>
      <c r="J6" s="71"/>
      <c r="K6" s="72"/>
      <c r="L6" s="72"/>
      <c r="M6" s="72"/>
      <c r="N6" s="72"/>
      <c r="O6" s="72"/>
    </row>
    <row r="7" spans="2:21" s="69" customFormat="1" ht="36" customHeight="1" thickBot="1">
      <c r="B7" s="73" t="s">
        <v>87</v>
      </c>
      <c r="C7" s="73" t="s">
        <v>88</v>
      </c>
      <c r="D7" s="73" t="s">
        <v>89</v>
      </c>
      <c r="F7" s="68"/>
      <c r="G7" s="68"/>
      <c r="H7" s="68"/>
      <c r="I7" s="68"/>
      <c r="J7" s="68"/>
    </row>
    <row r="8" spans="2:21" s="69" customFormat="1" ht="18" customHeight="1" thickBot="1">
      <c r="B8" s="74">
        <v>0</v>
      </c>
      <c r="C8" s="75">
        <f>B8*12.2-122.4</f>
        <v>-122.4</v>
      </c>
      <c r="D8" s="76">
        <f>(B8-5.2)*12.2</f>
        <v>-63.44</v>
      </c>
      <c r="F8" s="77" t="s">
        <v>90</v>
      </c>
      <c r="G8" s="68"/>
      <c r="H8" s="68"/>
      <c r="I8" s="68"/>
      <c r="J8" s="68"/>
    </row>
    <row r="9" spans="2:21" s="69" customFormat="1" ht="9" customHeight="1" thickBot="1">
      <c r="B9" s="78"/>
      <c r="C9" s="79"/>
      <c r="D9" s="80"/>
      <c r="F9" s="68"/>
      <c r="G9" s="68"/>
      <c r="H9" s="68"/>
      <c r="I9" s="68"/>
      <c r="J9" s="68"/>
      <c r="T9" s="81" t="s">
        <v>91</v>
      </c>
      <c r="U9" s="81" t="s">
        <v>92</v>
      </c>
    </row>
    <row r="10" spans="2:21" ht="36" customHeight="1" thickBot="1">
      <c r="B10" s="82" t="s">
        <v>93</v>
      </c>
      <c r="C10" s="83" t="s">
        <v>94</v>
      </c>
      <c r="D10" s="83" t="s">
        <v>95</v>
      </c>
      <c r="E10" s="84" t="s">
        <v>96</v>
      </c>
      <c r="F10" s="83" t="s">
        <v>97</v>
      </c>
      <c r="G10" s="83" t="s">
        <v>98</v>
      </c>
      <c r="H10" s="83" t="s">
        <v>99</v>
      </c>
      <c r="I10" s="85"/>
      <c r="K10" s="86" t="s">
        <v>100</v>
      </c>
      <c r="L10" s="86" t="s">
        <v>101</v>
      </c>
      <c r="M10" s="73" t="s">
        <v>102</v>
      </c>
      <c r="N10" s="86" t="s">
        <v>103</v>
      </c>
      <c r="O10" s="86" t="s">
        <v>104</v>
      </c>
      <c r="T10" s="81">
        <v>0</v>
      </c>
      <c r="U10" s="81" t="s">
        <v>105</v>
      </c>
    </row>
    <row r="11" spans="2:21" ht="18" customHeight="1" thickTop="1" thickBot="1">
      <c r="B11" s="87" t="s">
        <v>106</v>
      </c>
      <c r="C11" s="88">
        <v>0</v>
      </c>
      <c r="D11" s="88">
        <v>0</v>
      </c>
      <c r="E11" s="88">
        <v>0</v>
      </c>
      <c r="F11" s="88">
        <v>0</v>
      </c>
      <c r="G11" s="88">
        <v>0</v>
      </c>
      <c r="H11" s="88">
        <v>0</v>
      </c>
      <c r="I11" s="85"/>
      <c r="J11" s="89"/>
      <c r="K11" s="90">
        <f>(C11/1.4)+(D11/1.7)</f>
        <v>0</v>
      </c>
      <c r="L11" s="90">
        <f>IF(E10="Bicarbonate (ppm)", (50*E11/61)-K11, E11-K11)</f>
        <v>0</v>
      </c>
      <c r="M11" s="90">
        <f>IF(L11&lt;-69,0,L11*0.082+5.2)</f>
        <v>5.2</v>
      </c>
      <c r="N11" s="76">
        <f>IF(L11&lt;-128,0,(L11+122.4)/12.2)</f>
        <v>10.032786885245903</v>
      </c>
      <c r="O11" s="76" t="e">
        <f>VLOOKUP(G11/H11,T10:U14, 2, TRUE)</f>
        <v>#DIV/0!</v>
      </c>
      <c r="T11" s="81">
        <v>0.501</v>
      </c>
      <c r="U11" s="81" t="s">
        <v>107</v>
      </c>
    </row>
    <row r="12" spans="2:21" ht="9" customHeight="1">
      <c r="T12" s="81">
        <v>0.76800000000000002</v>
      </c>
      <c r="U12" s="81" t="s">
        <v>108</v>
      </c>
    </row>
    <row r="13" spans="2:21" ht="36" customHeight="1" thickBot="1">
      <c r="B13" s="163" t="s">
        <v>109</v>
      </c>
      <c r="C13" s="164"/>
      <c r="D13" s="164"/>
      <c r="E13" s="164"/>
      <c r="F13" s="164"/>
      <c r="G13" s="164"/>
      <c r="H13" s="164"/>
      <c r="I13" s="91"/>
      <c r="J13" s="91"/>
      <c r="K13" s="92"/>
      <c r="L13" s="92"/>
      <c r="M13" s="93"/>
      <c r="N13" s="92"/>
      <c r="O13" s="92"/>
      <c r="T13" s="81">
        <v>1.3</v>
      </c>
      <c r="U13" s="81" t="s">
        <v>110</v>
      </c>
    </row>
    <row r="14" spans="2:21" s="64" customFormat="1" ht="36" customHeight="1" thickTop="1" thickBot="1">
      <c r="B14" s="94" t="s">
        <v>111</v>
      </c>
      <c r="C14" s="95" t="s">
        <v>94</v>
      </c>
      <c r="D14" s="95" t="s">
        <v>95</v>
      </c>
      <c r="E14" s="96" t="s">
        <v>96</v>
      </c>
      <c r="F14" s="95" t="s">
        <v>97</v>
      </c>
      <c r="G14" s="95" t="s">
        <v>98</v>
      </c>
      <c r="H14" s="95" t="s">
        <v>99</v>
      </c>
      <c r="I14" s="95" t="s">
        <v>112</v>
      </c>
      <c r="J14" s="85"/>
      <c r="K14" s="97" t="s">
        <v>100</v>
      </c>
      <c r="L14" s="98" t="s">
        <v>101</v>
      </c>
      <c r="M14" s="99" t="s">
        <v>102</v>
      </c>
      <c r="N14" s="97" t="s">
        <v>103</v>
      </c>
      <c r="O14" s="97" t="s">
        <v>113</v>
      </c>
      <c r="T14" s="81">
        <v>2.0099999999999998</v>
      </c>
      <c r="U14" s="81" t="s">
        <v>114</v>
      </c>
    </row>
    <row r="15" spans="2:21" s="85" customFormat="1" ht="18" customHeight="1" thickTop="1" thickBot="1">
      <c r="B15" s="100" t="s">
        <v>106</v>
      </c>
      <c r="C15" s="101">
        <v>16</v>
      </c>
      <c r="D15" s="102">
        <v>9.6999999999999993</v>
      </c>
      <c r="E15" s="102">
        <v>14.9</v>
      </c>
      <c r="F15" s="102">
        <v>5.0999999999999996</v>
      </c>
      <c r="G15" s="102">
        <v>5.6</v>
      </c>
      <c r="H15" s="102">
        <v>18.399999999999999</v>
      </c>
      <c r="I15" s="103">
        <v>6.46</v>
      </c>
      <c r="J15" s="104"/>
      <c r="K15" s="105">
        <f>(C15/1.4)+(D15/1.7)</f>
        <v>17.134453781512605</v>
      </c>
      <c r="L15" s="106">
        <f>IF(E14="Bicarbonate (ppm)", (50*E15/61)-K15, E15-K15)</f>
        <v>-4.9213390274142448</v>
      </c>
      <c r="M15" s="105">
        <f>IF(L15&lt;-69,0,L15*0.082+5.2)</f>
        <v>4.7964501997520319</v>
      </c>
      <c r="N15" s="107">
        <f>IF(L15&lt;-128,0,(L15+122.4)/12.2)</f>
        <v>9.6293984403758817</v>
      </c>
      <c r="O15" s="107" t="str">
        <f>VLOOKUP(G15/H15,T10:U14, 2, TRUE)</f>
        <v>Very Bitter</v>
      </c>
      <c r="T15" s="81"/>
      <c r="U15" s="81"/>
    </row>
    <row r="16" spans="2:21" s="85" customFormat="1" ht="9" customHeight="1" thickTop="1">
      <c r="I16" s="108"/>
      <c r="T16" s="81"/>
      <c r="U16" s="81"/>
    </row>
    <row r="17" spans="2:21" s="85" customFormat="1" ht="36" customHeight="1" thickBot="1">
      <c r="B17" s="163" t="s">
        <v>115</v>
      </c>
      <c r="C17" s="165"/>
      <c r="D17" s="165"/>
      <c r="E17" s="165"/>
      <c r="F17" s="165"/>
      <c r="G17" s="165"/>
      <c r="H17" s="165"/>
      <c r="I17" s="91"/>
      <c r="J17" s="91"/>
      <c r="K17" s="92"/>
      <c r="L17" s="92"/>
      <c r="M17" s="92"/>
      <c r="N17" s="92"/>
      <c r="O17" s="92"/>
      <c r="T17" s="81"/>
      <c r="U17" s="81"/>
    </row>
    <row r="18" spans="2:21" s="85" customFormat="1" ht="36" customHeight="1" thickTop="1" thickBot="1">
      <c r="B18" s="94" t="s">
        <v>116</v>
      </c>
      <c r="C18" s="95" t="s">
        <v>94</v>
      </c>
      <c r="D18" s="95" t="s">
        <v>95</v>
      </c>
      <c r="E18" s="109" t="str">
        <f>E14</f>
        <v>Bicarbonate (ppm)</v>
      </c>
      <c r="F18" s="95" t="s">
        <v>97</v>
      </c>
      <c r="G18" s="95" t="s">
        <v>98</v>
      </c>
      <c r="H18" s="95" t="s">
        <v>99</v>
      </c>
      <c r="I18" s="110"/>
      <c r="K18" s="97" t="s">
        <v>100</v>
      </c>
      <c r="L18" s="98" t="s">
        <v>101</v>
      </c>
      <c r="M18" s="99" t="s">
        <v>102</v>
      </c>
      <c r="N18" s="97" t="s">
        <v>103</v>
      </c>
      <c r="O18" s="97" t="s">
        <v>113</v>
      </c>
      <c r="T18" s="81"/>
      <c r="U18" s="81"/>
    </row>
    <row r="19" spans="2:21" s="85" customFormat="1" ht="18" customHeight="1" thickTop="1" thickBot="1">
      <c r="B19" s="111">
        <v>0</v>
      </c>
      <c r="C19" s="112">
        <f t="shared" ref="C19:H19" si="0">(1-$B19)*C15</f>
        <v>16</v>
      </c>
      <c r="D19" s="112">
        <f t="shared" si="0"/>
        <v>9.6999999999999993</v>
      </c>
      <c r="E19" s="112">
        <f t="shared" si="0"/>
        <v>14.9</v>
      </c>
      <c r="F19" s="112">
        <f t="shared" si="0"/>
        <v>5.0999999999999996</v>
      </c>
      <c r="G19" s="112">
        <f t="shared" si="0"/>
        <v>5.6</v>
      </c>
      <c r="H19" s="112">
        <f t="shared" si="0"/>
        <v>18.399999999999999</v>
      </c>
      <c r="I19" s="110"/>
      <c r="J19" s="104"/>
      <c r="K19" s="105">
        <f>(C19/1.4)+(D19/1.7)</f>
        <v>17.134453781512605</v>
      </c>
      <c r="L19" s="106">
        <f>IF(E18="Bicarbonate (ppm)", (50*E19/61)-K19, E19-K19)</f>
        <v>-4.9213390274142448</v>
      </c>
      <c r="M19" s="105">
        <f>IF(L19&lt;-69,0,L19*0.082+5.2)</f>
        <v>4.7964501997520319</v>
      </c>
      <c r="N19" s="107">
        <f>IF(L19&lt;-128,0,(L19+122.4)/12.2)</f>
        <v>9.6293984403758817</v>
      </c>
      <c r="O19" s="107" t="str">
        <f>VLOOKUP(G19/H19,T10:U14, 2, TRUE)</f>
        <v>Very Bitter</v>
      </c>
      <c r="T19" s="81"/>
      <c r="U19" s="81"/>
    </row>
    <row r="20" spans="2:21" s="85" customFormat="1" ht="9" customHeight="1" thickTop="1">
      <c r="T20" s="81"/>
      <c r="U20" s="81"/>
    </row>
    <row r="21" spans="2:21" s="85" customFormat="1" ht="36" customHeight="1" thickBot="1">
      <c r="B21" s="162" t="s">
        <v>117</v>
      </c>
      <c r="C21" s="166"/>
      <c r="D21" s="166"/>
      <c r="E21" s="166"/>
      <c r="F21" s="166"/>
      <c r="G21" s="166"/>
      <c r="H21" s="166"/>
      <c r="I21" s="113"/>
      <c r="T21" s="81"/>
      <c r="U21" s="81"/>
    </row>
    <row r="22" spans="2:21" ht="54" customHeight="1" thickTop="1" thickBot="1">
      <c r="B22" s="114" t="s">
        <v>118</v>
      </c>
      <c r="C22" s="101" t="s">
        <v>119</v>
      </c>
      <c r="D22" s="97" t="s">
        <v>120</v>
      </c>
      <c r="E22" s="97" t="s">
        <v>121</v>
      </c>
      <c r="F22" s="97" t="s">
        <v>122</v>
      </c>
      <c r="G22" s="97" t="s">
        <v>123</v>
      </c>
      <c r="H22" s="99" t="s">
        <v>124</v>
      </c>
      <c r="I22" s="97" t="s">
        <v>125</v>
      </c>
      <c r="J22" s="65"/>
      <c r="P22" s="110"/>
      <c r="Q22" s="110"/>
      <c r="R22" s="110"/>
      <c r="S22" s="110"/>
      <c r="T22" s="81"/>
      <c r="U22" s="81"/>
    </row>
    <row r="23" spans="2:21" ht="18" customHeight="1" thickTop="1" thickBot="1">
      <c r="B23" s="115">
        <v>0</v>
      </c>
      <c r="C23" s="116" t="e">
        <f>Grains!J14/4</f>
        <v>#VALUE!</v>
      </c>
      <c r="D23" s="117" t="e">
        <f>(1-B19)*C23</f>
        <v>#VALUE!</v>
      </c>
      <c r="E23" s="117" t="e">
        <f>(B19)*C23</f>
        <v>#VALUE!</v>
      </c>
      <c r="F23" s="105">
        <f>IF(L19&gt;B23,(IF(E18="Bicarbonate (ppm)", (50*E19/61), E19)-B23)-K19,0)</f>
        <v>0</v>
      </c>
      <c r="G23" s="105">
        <f>IF(L19&lt;B23,B23-L19,0)</f>
        <v>4.9213390274142448</v>
      </c>
      <c r="H23" s="105">
        <f>IF(B23&lt;-69,0,B23*0.082+5.2)</f>
        <v>5.2</v>
      </c>
      <c r="I23" s="107">
        <f>IF(B23&lt;-128,0,(B23+122.4)/12.2)</f>
        <v>10.032786885245903</v>
      </c>
      <c r="J23" s="65"/>
      <c r="P23" s="110"/>
      <c r="Q23" s="110"/>
      <c r="R23" s="110"/>
      <c r="S23" s="110"/>
      <c r="T23" s="81"/>
      <c r="U23" s="81"/>
    </row>
    <row r="24" spans="2:21" ht="9" customHeight="1" thickTop="1">
      <c r="B24" s="118"/>
      <c r="C24" s="119"/>
      <c r="D24" s="120"/>
      <c r="E24" s="120"/>
      <c r="F24" s="121"/>
      <c r="G24" s="122"/>
      <c r="J24" s="65"/>
      <c r="P24" s="110"/>
      <c r="Q24" s="110"/>
      <c r="R24" s="110"/>
      <c r="S24" s="110"/>
      <c r="T24" s="81"/>
      <c r="U24" s="81"/>
    </row>
    <row r="25" spans="2:21" ht="36" customHeight="1" thickBot="1">
      <c r="B25" s="158" t="s">
        <v>126</v>
      </c>
      <c r="C25" s="167"/>
      <c r="D25" s="167"/>
      <c r="E25" s="167"/>
      <c r="F25" s="167"/>
      <c r="G25" s="167"/>
      <c r="H25" s="167"/>
      <c r="I25" s="91"/>
      <c r="J25" s="123"/>
      <c r="K25" s="92"/>
      <c r="L25" s="92"/>
      <c r="T25" s="81"/>
      <c r="U25" s="81"/>
    </row>
    <row r="26" spans="2:21" ht="54" customHeight="1" thickTop="1" thickBot="1">
      <c r="B26" s="124" t="s">
        <v>127</v>
      </c>
      <c r="C26" s="95" t="s">
        <v>128</v>
      </c>
      <c r="D26" s="125" t="s">
        <v>129</v>
      </c>
      <c r="E26" s="95" t="s">
        <v>130</v>
      </c>
      <c r="F26" s="95" t="s">
        <v>131</v>
      </c>
      <c r="G26" s="95" t="s">
        <v>132</v>
      </c>
      <c r="H26" s="95" t="s">
        <v>153</v>
      </c>
      <c r="I26" s="65"/>
      <c r="J26" s="65"/>
      <c r="T26" s="81"/>
      <c r="U26" s="81"/>
    </row>
    <row r="27" spans="2:21" ht="18" customHeight="1" thickTop="1" thickBot="1">
      <c r="B27" s="95" t="s">
        <v>133</v>
      </c>
      <c r="C27" s="96">
        <v>0</v>
      </c>
      <c r="D27" s="96">
        <v>0</v>
      </c>
      <c r="E27" s="96">
        <v>0</v>
      </c>
      <c r="F27" s="96">
        <v>0</v>
      </c>
      <c r="G27" s="96">
        <v>0</v>
      </c>
      <c r="H27" s="96">
        <v>0</v>
      </c>
      <c r="N27" s="64"/>
      <c r="O27" s="64"/>
      <c r="T27" s="81"/>
      <c r="U27" s="81"/>
    </row>
    <row r="28" spans="2:21" ht="9" customHeight="1" thickTop="1" thickBot="1">
      <c r="B28" s="126"/>
      <c r="C28" s="127"/>
      <c r="D28" s="120"/>
      <c r="E28" s="119"/>
      <c r="J28" s="128"/>
      <c r="T28" s="81"/>
      <c r="U28" s="81"/>
    </row>
    <row r="29" spans="2:21" ht="36" customHeight="1" thickBot="1">
      <c r="B29" s="129" t="s">
        <v>134</v>
      </c>
      <c r="C29" s="97" t="s">
        <v>94</v>
      </c>
      <c r="D29" s="97" t="s">
        <v>95</v>
      </c>
      <c r="E29" s="97" t="s">
        <v>135</v>
      </c>
      <c r="F29" s="97" t="s">
        <v>97</v>
      </c>
      <c r="G29" s="97" t="s">
        <v>98</v>
      </c>
      <c r="H29" s="97" t="s">
        <v>99</v>
      </c>
      <c r="K29" s="97" t="s">
        <v>136</v>
      </c>
      <c r="L29" s="97" t="s">
        <v>137</v>
      </c>
      <c r="P29" s="110"/>
      <c r="Q29" s="110"/>
      <c r="R29" s="110"/>
      <c r="S29" s="110"/>
      <c r="T29" s="81"/>
      <c r="U29" s="81"/>
    </row>
    <row r="30" spans="2:21" ht="18" customHeight="1" thickBot="1">
      <c r="B30" s="130" t="s">
        <v>106</v>
      </c>
      <c r="C30" s="105" t="e">
        <f>(C27*105.89+D27*60+E27*72)/C23</f>
        <v>#VALUE!</v>
      </c>
      <c r="D30" s="105" t="e">
        <f>F27*24.6/C23</f>
        <v>#VALUE!</v>
      </c>
      <c r="E30" s="105" t="e">
        <f>(C27*158+G27*191.88)/C23</f>
        <v>#VALUE!</v>
      </c>
      <c r="F30" s="105" t="e">
        <f>(G27*72.3+H27*103.8)/C23</f>
        <v>#VALUE!</v>
      </c>
      <c r="G30" s="105" t="e">
        <f>(E27*127.47+H27*159.4)/C23</f>
        <v>#VALUE!</v>
      </c>
      <c r="H30" s="105" t="e">
        <f>(D27*147.4+F27*103)/C23</f>
        <v>#VALUE!</v>
      </c>
      <c r="I30" s="65"/>
      <c r="J30" s="65"/>
      <c r="K30" s="105" t="e">
        <f>(C30/1.4)+(D30/1.7)</f>
        <v>#VALUE!</v>
      </c>
      <c r="L30" s="105" t="e">
        <f>(E30)*50/61</f>
        <v>#VALUE!</v>
      </c>
      <c r="P30" s="110"/>
      <c r="Q30" s="110"/>
      <c r="R30" s="110"/>
      <c r="S30" s="110"/>
      <c r="T30" s="81"/>
      <c r="U30" s="81"/>
    </row>
    <row r="31" spans="2:21" ht="9" customHeight="1">
      <c r="P31" s="110"/>
      <c r="Q31" s="110"/>
      <c r="R31" s="110"/>
      <c r="S31" s="110"/>
      <c r="T31" s="81"/>
      <c r="U31" s="81"/>
    </row>
    <row r="32" spans="2:21" ht="36" customHeight="1" thickBot="1">
      <c r="B32" s="158" t="s">
        <v>138</v>
      </c>
      <c r="C32" s="159"/>
      <c r="D32" s="159"/>
      <c r="E32" s="159"/>
      <c r="F32" s="159"/>
      <c r="G32" s="159"/>
      <c r="H32" s="159"/>
      <c r="P32" s="110"/>
      <c r="Q32" s="110"/>
      <c r="R32" s="110"/>
      <c r="S32" s="110"/>
      <c r="T32" s="81"/>
      <c r="U32" s="81"/>
    </row>
    <row r="33" spans="2:21" ht="54" customHeight="1" thickTop="1" thickBot="1">
      <c r="B33" s="95" t="s">
        <v>139</v>
      </c>
      <c r="C33" s="95" t="s">
        <v>140</v>
      </c>
      <c r="D33" s="131" t="s">
        <v>141</v>
      </c>
      <c r="E33" s="95" t="s">
        <v>142</v>
      </c>
      <c r="T33" s="81"/>
      <c r="U33" s="81"/>
    </row>
    <row r="34" spans="2:21" ht="18" customHeight="1" thickTop="1" thickBot="1">
      <c r="B34" s="95" t="s">
        <v>143</v>
      </c>
      <c r="C34" s="111">
        <v>0.37</v>
      </c>
      <c r="D34" s="132">
        <f>IF(L19&gt;B23,3.785*C23*F23/50/((13.927*C34*C34)+(27.319*C34)),0)</f>
        <v>0</v>
      </c>
      <c r="E34" s="133">
        <v>0</v>
      </c>
      <c r="M34" s="110"/>
      <c r="T34" s="81"/>
      <c r="U34" s="81"/>
    </row>
    <row r="35" spans="2:21" ht="18" customHeight="1" thickTop="1" thickBot="1">
      <c r="B35" s="95" t="s">
        <v>144</v>
      </c>
      <c r="C35" s="111">
        <v>0.88</v>
      </c>
      <c r="D35" s="134">
        <f>IF(L15&gt;B23,0.88/C35*3.785*C23*F23/50/11.8,0)</f>
        <v>0</v>
      </c>
      <c r="E35" s="133">
        <v>0</v>
      </c>
      <c r="I35" s="65"/>
      <c r="J35" s="65"/>
      <c r="K35" s="120"/>
      <c r="L35" s="120"/>
      <c r="M35" s="135"/>
      <c r="T35" s="81"/>
      <c r="U35" s="81"/>
    </row>
    <row r="36" spans="2:21" s="137" customFormat="1" ht="9" customHeight="1" thickTop="1">
      <c r="B36" s="119"/>
      <c r="C36" s="127"/>
      <c r="D36" s="120"/>
      <c r="E36" s="119"/>
      <c r="F36" s="136"/>
      <c r="G36" s="136"/>
      <c r="H36" s="136"/>
      <c r="K36" s="120"/>
      <c r="L36" s="120"/>
      <c r="M36" s="135"/>
      <c r="O36" s="65"/>
      <c r="P36" s="65"/>
      <c r="Q36" s="65"/>
      <c r="R36" s="65"/>
      <c r="S36" s="65"/>
      <c r="T36" s="81"/>
      <c r="U36" s="65"/>
    </row>
    <row r="37" spans="2:21" ht="36" customHeight="1" thickBot="1">
      <c r="B37" s="158" t="s">
        <v>145</v>
      </c>
      <c r="C37" s="159"/>
      <c r="D37" s="159"/>
      <c r="E37" s="159"/>
      <c r="F37" s="159"/>
      <c r="G37" s="159"/>
      <c r="H37" s="159"/>
      <c r="I37" s="159"/>
      <c r="J37" s="92"/>
      <c r="K37" s="92"/>
      <c r="L37" s="92"/>
      <c r="M37" s="93"/>
      <c r="N37" s="92"/>
      <c r="O37" s="92"/>
      <c r="T37" s="81"/>
    </row>
    <row r="38" spans="2:21" ht="36" customHeight="1" thickBot="1">
      <c r="B38" s="138" t="s">
        <v>146</v>
      </c>
      <c r="C38" s="97" t="s">
        <v>94</v>
      </c>
      <c r="D38" s="97" t="s">
        <v>95</v>
      </c>
      <c r="E38" s="97" t="s">
        <v>147</v>
      </c>
      <c r="F38" s="97" t="s">
        <v>97</v>
      </c>
      <c r="G38" s="97" t="s">
        <v>98</v>
      </c>
      <c r="H38" s="97" t="s">
        <v>99</v>
      </c>
      <c r="J38" s="139"/>
      <c r="K38" s="97" t="s">
        <v>100</v>
      </c>
      <c r="L38" s="97" t="s">
        <v>101</v>
      </c>
      <c r="M38" s="99" t="s">
        <v>102</v>
      </c>
      <c r="N38" s="97" t="s">
        <v>103</v>
      </c>
      <c r="O38" s="97" t="s">
        <v>113</v>
      </c>
      <c r="T38" s="81"/>
    </row>
    <row r="39" spans="2:21" ht="18" customHeight="1" thickBot="1">
      <c r="B39" s="130" t="s">
        <v>106</v>
      </c>
      <c r="C39" s="105" t="e">
        <f>C19+C30</f>
        <v>#VALUE!</v>
      </c>
      <c r="D39" s="105" t="e">
        <f>D19+D30</f>
        <v>#VALUE!</v>
      </c>
      <c r="E39" s="105" t="e">
        <f>IF(E14="Bicarbonate (ppm)", 50/61*E19+L30, E19+L30)</f>
        <v>#VALUE!</v>
      </c>
      <c r="F39" s="105" t="e">
        <f>F19+F30</f>
        <v>#VALUE!</v>
      </c>
      <c r="G39" s="105" t="e">
        <f>IF(D34=0,G19+G30,G19+G30+(E34*12*C34/0.37*35.4/(C23*3.785)))</f>
        <v>#VALUE!</v>
      </c>
      <c r="H39" s="105" t="e">
        <f>H19+H30</f>
        <v>#VALUE!</v>
      </c>
      <c r="J39" s="140"/>
      <c r="K39" s="105" t="e">
        <f>(C39/1.4)+(D39/1.7)</f>
        <v>#VALUE!</v>
      </c>
      <c r="L39" s="105" t="e">
        <f>E39-K39-(50*E34*((13.927*C34*C34)+(27.319*C34))/(C23*3.785))- (50*E35*C35/0.88*11.8/(C23*3.785))</f>
        <v>#VALUE!</v>
      </c>
      <c r="M39" s="105" t="e">
        <f>IF(L39&lt;-69,0,L39*0.082+5.2)</f>
        <v>#VALUE!</v>
      </c>
      <c r="N39" s="107" t="e">
        <f>IF(L39&lt;-128,0,(L39+122.4)/12.2)</f>
        <v>#VALUE!</v>
      </c>
      <c r="O39" s="107" t="e">
        <f>VLOOKUP(G39/H39,T10:U14, 2, TRUE)</f>
        <v>#VALUE!</v>
      </c>
      <c r="T39" s="81"/>
    </row>
    <row r="40" spans="2:21" ht="9" customHeight="1" thickBot="1">
      <c r="M40" s="110"/>
      <c r="N40" s="110"/>
      <c r="O40" s="110"/>
    </row>
    <row r="41" spans="2:21" ht="9" customHeight="1">
      <c r="B41" s="141"/>
      <c r="C41" s="142"/>
      <c r="D41" s="142"/>
      <c r="E41" s="142"/>
      <c r="F41" s="143"/>
      <c r="G41" s="143"/>
      <c r="H41" s="143"/>
      <c r="I41" s="143"/>
      <c r="J41" s="143"/>
      <c r="K41" s="142"/>
      <c r="L41" s="142"/>
      <c r="M41" s="144"/>
      <c r="N41" s="144"/>
      <c r="O41" s="144"/>
    </row>
    <row r="42" spans="2:21" ht="36" customHeight="1" thickBot="1">
      <c r="B42" s="145" t="s">
        <v>148</v>
      </c>
      <c r="C42" s="146"/>
      <c r="D42" s="146"/>
      <c r="E42" s="146"/>
      <c r="F42" s="89"/>
      <c r="G42" s="89"/>
      <c r="H42" s="89"/>
      <c r="I42" s="89"/>
      <c r="J42" s="89"/>
      <c r="K42" s="147"/>
      <c r="L42" s="147"/>
      <c r="M42" s="148"/>
      <c r="N42" s="148"/>
      <c r="O42" s="148"/>
    </row>
    <row r="43" spans="2:21" ht="54" customHeight="1" thickTop="1" thickBot="1">
      <c r="B43" s="149" t="s">
        <v>149</v>
      </c>
      <c r="C43" s="149" t="s">
        <v>150</v>
      </c>
      <c r="D43" s="95" t="s">
        <v>151</v>
      </c>
    </row>
    <row r="44" spans="2:21" ht="18" customHeight="1" thickTop="1" thickBot="1">
      <c r="B44" s="150">
        <v>0</v>
      </c>
      <c r="C44" s="151">
        <v>0</v>
      </c>
      <c r="D44" s="116">
        <v>0</v>
      </c>
      <c r="G44" s="152"/>
      <c r="H44" s="152"/>
      <c r="I44" s="152"/>
    </row>
    <row r="45" spans="2:21" ht="13.5" thickTop="1" thickBot="1">
      <c r="B45" s="153"/>
      <c r="C45" s="154"/>
      <c r="G45" s="152"/>
      <c r="H45" s="152"/>
      <c r="I45" s="155"/>
    </row>
    <row r="46" spans="2:21" ht="54" customHeight="1" thickTop="1" thickBot="1">
      <c r="B46" s="95" t="s">
        <v>139</v>
      </c>
      <c r="C46" s="95" t="s">
        <v>140</v>
      </c>
      <c r="D46" s="95" t="s">
        <v>152</v>
      </c>
      <c r="G46" s="152"/>
      <c r="H46" s="152"/>
      <c r="I46" s="152"/>
    </row>
    <row r="47" spans="2:21" ht="18" customHeight="1" thickTop="1" thickBot="1">
      <c r="B47" s="95" t="s">
        <v>143</v>
      </c>
      <c r="C47" s="111">
        <v>0.37</v>
      </c>
      <c r="D47" s="134">
        <v>0</v>
      </c>
      <c r="E47" s="152"/>
      <c r="F47" s="152"/>
      <c r="G47" s="152"/>
      <c r="H47" s="152"/>
      <c r="I47" s="152"/>
    </row>
    <row r="48" spans="2:21" ht="18" customHeight="1" thickTop="1" thickBot="1">
      <c r="B48" s="95" t="s">
        <v>144</v>
      </c>
      <c r="C48" s="111">
        <v>0.88</v>
      </c>
      <c r="D48" s="156">
        <v>0</v>
      </c>
      <c r="G48" s="65"/>
      <c r="H48" s="65"/>
    </row>
    <row r="49" spans="4:8" ht="12.75" thickTop="1">
      <c r="D49" s="157"/>
    </row>
    <row r="50" spans="4:8">
      <c r="G50" s="65"/>
      <c r="H50" s="65"/>
    </row>
    <row r="52" spans="4:8">
      <c r="G52" s="65"/>
      <c r="H52" s="65"/>
    </row>
  </sheetData>
  <sheetProtection selectLockedCells="1"/>
  <mergeCells count="8">
    <mergeCell ref="B32:H32"/>
    <mergeCell ref="B37:I37"/>
    <mergeCell ref="B1:I1"/>
    <mergeCell ref="B5:I6"/>
    <mergeCell ref="B13:H13"/>
    <mergeCell ref="B17:H17"/>
    <mergeCell ref="B21:H21"/>
    <mergeCell ref="B25:H25"/>
  </mergeCells>
  <conditionalFormatting sqref="H39">
    <cfRule type="cellIs" dxfId="4" priority="5" stopIfTrue="1" operator="greaterThan">
      <formula>350</formula>
    </cfRule>
  </conditionalFormatting>
  <conditionalFormatting sqref="D39">
    <cfRule type="cellIs" dxfId="3" priority="4" stopIfTrue="1" operator="greaterThan">
      <formula>50</formula>
    </cfRule>
  </conditionalFormatting>
  <conditionalFormatting sqref="F39">
    <cfRule type="cellIs" dxfId="2" priority="3" stopIfTrue="1" operator="greaterThan">
      <formula>150</formula>
    </cfRule>
  </conditionalFormatting>
  <conditionalFormatting sqref="G39">
    <cfRule type="cellIs" dxfId="1" priority="2" stopIfTrue="1" operator="greaterThan">
      <formula>250</formula>
    </cfRule>
  </conditionalFormatting>
  <conditionalFormatting sqref="C8:D8 L39 L19">
    <cfRule type="cellIs" dxfId="0" priority="1" stopIfTrue="1" operator="greaterThan">
      <formula>300</formula>
    </cfRule>
  </conditionalFormatting>
  <dataValidations count="1">
    <dataValidation type="list" allowBlank="1" showInputMessage="1" showErrorMessage="1"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Carbo</formula1>
    </dataValidation>
  </dataValidations>
  <pageMargins left="0.75" right="0.75" top="1" bottom="1" header="0.5" footer="0.5"/>
  <pageSetup orientation="landscape"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Grains</vt:lpstr>
      <vt:lpstr>Hops</vt:lpstr>
      <vt:lpstr>Water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and Kath</dc:creator>
  <cp:lastModifiedBy>Matt and Kath</cp:lastModifiedBy>
  <dcterms:created xsi:type="dcterms:W3CDTF">2010-08-23T01:55:17Z</dcterms:created>
  <dcterms:modified xsi:type="dcterms:W3CDTF">2010-11-15T01:36:02Z</dcterms:modified>
</cp:coreProperties>
</file>